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5480" windowHeight="7515" tabRatio="944" activeTab="0"/>
  </bookViews>
  <sheets>
    <sheet name="B07- ve tien" sheetId="1" r:id="rId1"/>
    <sheet name="sua  mau an tuyen khong ro 9" sheetId="2" state="hidden" r:id="rId2"/>
  </sheets>
  <definedNames/>
  <calcPr fullCalcOnLoad="1"/>
</workbook>
</file>

<file path=xl/sharedStrings.xml><?xml version="1.0" encoding="utf-8"?>
<sst xmlns="http://schemas.openxmlformats.org/spreadsheetml/2006/main" count="189" uniqueCount="158">
  <si>
    <t>I</t>
  </si>
  <si>
    <t>II</t>
  </si>
  <si>
    <t>Số việc</t>
  </si>
  <si>
    <t xml:space="preserve"> </t>
  </si>
  <si>
    <t>A</t>
  </si>
  <si>
    <t>Chia ra:</t>
  </si>
  <si>
    <t>III</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</si>
  <si>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</si>
  <si>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</si>
  <si>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</si>
  <si>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</si>
  <si>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</si>
  <si>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</si>
  <si>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</si>
  <si>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</si>
  <si>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07/TK-THA</t>
  </si>
  <si>
    <t>Tổng số</t>
  </si>
  <si>
    <t>Tổng số</t>
  </si>
  <si>
    <t xml:space="preserve">CHIA THEO CƠ QUAN THI HÀNH ÁN VÀ CHẤP HÀNH VIÊN </t>
  </si>
  <si>
    <t xml:space="preserve">    NGƯỜI LẬP BIỂU</t>
  </si>
  <si>
    <t xml:space="preserve">         CỤC TRƯỞNG (CHI CỤC TRƯỞNG)</t>
  </si>
  <si>
    <t xml:space="preserve">Ghi chú:  </t>
  </si>
  <si>
    <t xml:space="preserve">Tổng số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</si>
  <si>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</si>
  <si>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</si>
  <si>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</si>
  <si>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</si>
  <si>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</si>
  <si>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</si>
  <si>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</si>
  <si>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</si>
  <si>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</si>
  <si>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</si>
  <si>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</si>
  <si>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</si>
  <si>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</si>
  <si>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</si>
  <si>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</si>
  <si>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</si>
  <si>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</si>
  <si>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</si>
  <si>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</si>
  <si>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</si>
  <si>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</si>
  <si>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</si>
  <si>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</si>
  <si>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</si>
  <si>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THADS tỉnh Bắc Giang</t>
  </si>
  <si>
    <t>Nguyễn Thành Long</t>
  </si>
  <si>
    <t>Ủy thác thi hành án</t>
  </si>
  <si>
    <t>IV</t>
  </si>
  <si>
    <t>Tổng số phải thi hành</t>
  </si>
  <si>
    <t>Có điều kiện thi hành</t>
  </si>
  <si>
    <t>Đang thi hành</t>
  </si>
  <si>
    <t>Tạm đình chỉ thi hành án</t>
  </si>
  <si>
    <t>Trường hợp khác</t>
  </si>
  <si>
    <t>Giảm thi hành án</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</si>
  <si>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</si>
  <si>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</si>
  <si>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</si>
  <si>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</si>
  <si>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</si>
  <si>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</si>
  <si>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</si>
  <si>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</si>
  <si>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Tỷ lệ: 
( %) (xong  + đình chỉ+ giảm)/ Có điều kiện * 100%</t>
  </si>
  <si>
    <t>Ban hành theo TT số: 08/2015/TT-BTP</t>
  </si>
  <si>
    <t>ngày 26 tháng 6 năm 2015</t>
  </si>
  <si>
    <t>Tổng cục THADS-BTP Hà Nội</t>
  </si>
  <si>
    <t>PHÓ CỤC TRƯỞNG</t>
  </si>
  <si>
    <t>Giáp Hoàng Cự</t>
  </si>
  <si>
    <t>Hoàng Thị Minh Hiếu</t>
  </si>
  <si>
    <t>Cục Thi hành án DS</t>
  </si>
  <si>
    <t>Nguyễn Minh Hoàng</t>
  </si>
  <si>
    <t>Hà Thị Thái</t>
  </si>
  <si>
    <t>Phạm Hải Vân</t>
  </si>
  <si>
    <t>Lê Thị Hoàn</t>
  </si>
  <si>
    <t>Nguyễn Tuấn Lại</t>
  </si>
  <si>
    <t>Dương Văn Phúc</t>
  </si>
  <si>
    <t>Chi cục các huyện, TP</t>
  </si>
  <si>
    <t>Thành phố</t>
  </si>
  <si>
    <t>Nguyễn Văn Thơm</t>
  </si>
  <si>
    <t>Dương Văn Cường</t>
  </si>
  <si>
    <t>Phạm Nguyễn Kiên</t>
  </si>
  <si>
    <t>Phan Thị Việt Hà</t>
  </si>
  <si>
    <t>Nguyễn Thị Liên</t>
  </si>
  <si>
    <t>Lưu Ngọc Hùng</t>
  </si>
  <si>
    <t xml:space="preserve"> Lạng Giang</t>
  </si>
  <si>
    <t>Nguyễn Thế Hùng</t>
  </si>
  <si>
    <t>Nguyễn Hữu Lợi</t>
  </si>
  <si>
    <t>Nguyễn Thị Bốn</t>
  </si>
  <si>
    <t>Vũ Ngọc Tùng</t>
  </si>
  <si>
    <t>Phùng Văn Mười</t>
  </si>
  <si>
    <t>Bùi Thị Hiền</t>
  </si>
  <si>
    <t>Nguyễn Thị Dịu</t>
  </si>
  <si>
    <t>Hiệp Hòa</t>
  </si>
  <si>
    <t>Trần Huy Biên</t>
  </si>
  <si>
    <t>Trần Trường Sơn</t>
  </si>
  <si>
    <t>Ngô Văn Dũng</t>
  </si>
  <si>
    <t>Sơn Động</t>
  </si>
  <si>
    <t>Vi Văn Lưu</t>
  </si>
  <si>
    <t>Lục Nam</t>
  </si>
  <si>
    <t>Nguyễn Duy Tập</t>
  </si>
  <si>
    <t>Dương Văn Đang</t>
  </si>
  <si>
    <t>Đoàn Văn Huê</t>
  </si>
  <si>
    <t>Nguyễn Mạnh Chiến</t>
  </si>
  <si>
    <t>Yên Thế</t>
  </si>
  <si>
    <t>Nguyễn Thành Bắc</t>
  </si>
  <si>
    <t>Vi Thị Hải Lý</t>
  </si>
  <si>
    <t>Đoàn Minh Anh</t>
  </si>
  <si>
    <t>Yên Dũng</t>
  </si>
  <si>
    <t>Việt Yên</t>
  </si>
  <si>
    <t>Đỗ Văn Ngà</t>
  </si>
  <si>
    <t>Hoàng Công Đức</t>
  </si>
  <si>
    <t>Lục Ngạn</t>
  </si>
  <si>
    <t>Thăng Xuân Lâm</t>
  </si>
  <si>
    <t>Thân Văn Tuấn</t>
  </si>
  <si>
    <t>Nguyễn T Công Mừng</t>
  </si>
  <si>
    <t>Phạm Văn Tám</t>
  </si>
  <si>
    <t>Tân Yên</t>
  </si>
  <si>
    <t>Lê Việt Quang</t>
  </si>
  <si>
    <t>Nguyễn Thành Phương</t>
  </si>
  <si>
    <t>B</t>
  </si>
  <si>
    <t>V</t>
  </si>
  <si>
    <t>VI</t>
  </si>
  <si>
    <t>VII</t>
  </si>
  <si>
    <t>VIII</t>
  </si>
  <si>
    <t>IX</t>
  </si>
  <si>
    <t>Giáp Văn Bền</t>
  </si>
  <si>
    <t>Nguyễn Thành Lợi</t>
  </si>
  <si>
    <t>X</t>
  </si>
  <si>
    <t xml:space="preserve">   KẾT QUẢ THI HÀNH ÁN DÂN SỰ TÍNH BẰNG TIỀN </t>
  </si>
  <si>
    <t>Đơn vị  báo cáo…...………..</t>
  </si>
  <si>
    <t>Đơn vị nhận báo cáo….....…..</t>
  </si>
  <si>
    <t>Ngày nhận báo cáo:……/….…/……………</t>
  </si>
  <si>
    <t>Đơn vị tính: 1.000 VN đồng</t>
  </si>
  <si>
    <t>L· Tr­êng Minh</t>
  </si>
  <si>
    <t>NguyÔn T Thuû Kh¬i</t>
  </si>
  <si>
    <t>NguyÔn V¨n Giíi</t>
  </si>
  <si>
    <t xml:space="preserve"> KT.CỤC TRƯỞNG</t>
  </si>
  <si>
    <t>(ký, họ tên)</t>
  </si>
  <si>
    <t>Trần Văn Thùy</t>
  </si>
  <si>
    <t>Ngô Thị Hảo</t>
  </si>
  <si>
    <t>Nguyễn T.N.T.Bình</t>
  </si>
  <si>
    <t>Nguyễn Thị Bích Tần</t>
  </si>
  <si>
    <t>Nguyễn Văn Khởi</t>
  </si>
  <si>
    <t>Nguyễn Văn Trường</t>
  </si>
  <si>
    <t>Trần Thế Tam</t>
  </si>
  <si>
    <t>Trần Văn Lâm</t>
  </si>
  <si>
    <t>Nguyễn Thị Lan</t>
  </si>
  <si>
    <t>Nguyễn Hoàng Thủy</t>
  </si>
  <si>
    <t>Ngô Quóc Pháp</t>
  </si>
  <si>
    <t>11 tháng năm 2017</t>
  </si>
  <si>
    <t>Nguyễn Phi Điệp</t>
  </si>
  <si>
    <t xml:space="preserve"> Bắc Giang,ngày 25  tháng 8 năm 2017.</t>
  </si>
  <si>
    <r>
      <t xml:space="preserve">
Tổng số </t>
    </r>
    <r>
      <rPr>
        <sz val="8"/>
        <rFont val="Times New Roman"/>
        <family val="1"/>
      </rPr>
      <t>chuyển</t>
    </r>
    <r>
      <rPr>
        <sz val="9"/>
        <rFont val="Times New Roman"/>
        <family val="1"/>
      </rPr>
      <t xml:space="preserve">
kỳ sau</t>
    </r>
  </si>
  <si>
    <r>
      <t xml:space="preserve">Tạm dừng THA để </t>
    </r>
    <r>
      <rPr>
        <sz val="8"/>
        <rFont val="Times New Roman"/>
        <family val="1"/>
      </rPr>
      <t>GQKN</t>
    </r>
  </si>
  <si>
    <t>Nguyen Tien Loi</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</si>
</sst>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0\)"/>
    <numFmt numFmtId="194" formatCode="0.0"/>
    <numFmt numFmtId="195" formatCode="#,##0.0"/>
    <numFmt numFmtId="196" formatCode="_(* #,##0.0_);_(* \(#,##0.0\);_(* &quot;-&quot;?_);_(@_)"/>
    <numFmt numFmtId="197" formatCode="#,##0_ ;\-#,##0\ "/>
    <numFmt numFmtId="198" formatCode="_(* #,##0.000_);_(* \(#,##0.000\);_(* &quot;-&quot;??_);_(@_)"/>
    <numFmt numFmtId="199" formatCode="_(* #,##0.0000_);_(* \(#,##0.0000\);_(* &quot;-&quot;??_);_(@_)"/>
    <numFmt numFmtId="200" formatCode="_(* #,##0_);_(* \(#,##0\);_(* &quot;&quot;??_);_(@_)"/>
  </numFmts>
  <fonts count="95">
    <font>
      <sz val="12"/>
      <name val="Times New Roman"/>
      <family val="1"/>
    </font>
    <font>
      <sz val="10"/>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8"/>
      <name val="Times New Roman"/>
      <family val="1"/>
    </font>
    <font>
      <b/>
      <i/>
      <sz val="13"/>
      <name val="Times New Roman"/>
      <family val="1"/>
    </font>
    <font>
      <b/>
      <sz val="6"/>
      <name val="Times New Roman"/>
      <family val="1"/>
    </font>
    <font>
      <sz val="10"/>
      <name val="Arial"/>
      <family val="2"/>
    </font>
    <font>
      <sz val="6"/>
      <name val="Times New Roman"/>
      <family val="1"/>
    </font>
    <font>
      <sz val="11"/>
      <name val="Arial"/>
      <family val="2"/>
    </font>
    <font>
      <b/>
      <sz val="10"/>
      <name val="Arial"/>
      <family val="2"/>
    </font>
    <font>
      <b/>
      <sz val="8"/>
      <name val="Arial"/>
      <family val="2"/>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0"/>
      <name val="Arial"/>
      <family val="2"/>
    </font>
    <font>
      <sz val="11"/>
      <color indexed="30"/>
      <name val="Arial"/>
      <family val="2"/>
    </font>
    <font>
      <sz val="6"/>
      <color indexed="30"/>
      <name val="Arial"/>
      <family val="2"/>
    </font>
    <font>
      <b/>
      <sz val="6"/>
      <color indexed="30"/>
      <name val="Arial"/>
      <family val="2"/>
    </font>
    <font>
      <sz val="5"/>
      <color indexed="30"/>
      <name val="Arial"/>
      <family val="2"/>
    </font>
    <font>
      <b/>
      <sz val="10"/>
      <color indexed="30"/>
      <name val="Arial"/>
      <family val="2"/>
    </font>
    <font>
      <b/>
      <sz val="13"/>
      <color indexed="3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70C0"/>
      <name val="Arial"/>
      <family val="2"/>
    </font>
    <font>
      <sz val="11"/>
      <color rgb="FF0070C0"/>
      <name val="Arial"/>
      <family val="2"/>
    </font>
    <font>
      <sz val="6"/>
      <color rgb="FF0070C0"/>
      <name val="Arial"/>
      <family val="2"/>
    </font>
    <font>
      <b/>
      <sz val="6"/>
      <color rgb="FF0070C0"/>
      <name val="Arial"/>
      <family val="2"/>
    </font>
    <font>
      <sz val="5"/>
      <color rgb="FF0070C0"/>
      <name val="Arial"/>
      <family val="2"/>
    </font>
    <font>
      <b/>
      <sz val="10"/>
      <color rgb="FF0070C0"/>
      <name val="Arial"/>
      <family val="2"/>
    </font>
    <font>
      <sz val="10"/>
      <name val="Cambria"/>
      <family val="1"/>
    </font>
    <font>
      <b/>
      <sz val="13"/>
      <color rgb="FF0070C0"/>
      <name val="Times New Roman"/>
      <family val="1"/>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dotted"/>
    </border>
    <border>
      <left style="thin"/>
      <right style="thin"/>
      <top style="dotted"/>
      <bottom style="dotted"/>
    </border>
    <border>
      <left style="thin"/>
      <right style="thin"/>
      <top>
        <color indexed="63"/>
      </top>
      <bottom style="dotted"/>
    </border>
    <border>
      <left style="thin"/>
      <right style="thin"/>
      <top style="dotted"/>
      <bottom style="thin"/>
    </border>
    <border>
      <left style="thin"/>
      <right style="thin"/>
      <top style="dotted"/>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1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70"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70"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70"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70"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70"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70"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70"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70"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70" fillId="1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70" fillId="16"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70"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71"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71" fillId="21"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71"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71"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71" fillId="2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71"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71" fillId="26"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71" fillId="28"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71" fillId="3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71" fillId="3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71" fillId="3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71" fillId="34"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72" fillId="36"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73" fillId="37" borderId="1" applyNumberFormat="0" applyAlignment="0" applyProtection="0"/>
    <xf numFmtId="0" fontId="32" fillId="38" borderId="2" applyNumberFormat="0" applyAlignment="0" applyProtection="0"/>
    <xf numFmtId="0" fontId="32"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39" borderId="3" applyNumberFormat="0" applyAlignment="0" applyProtection="0"/>
    <xf numFmtId="0" fontId="33" fillId="40" borderId="4" applyNumberFormat="0" applyAlignment="0" applyProtection="0"/>
    <xf numFmtId="0" fontId="33" fillId="40" borderId="4" applyNumberFormat="0" applyAlignment="0" applyProtection="0"/>
    <xf numFmtId="0" fontId="7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9" fillId="0" borderId="0" applyNumberFormat="0" applyFill="0" applyBorder="0" applyAlignment="0" applyProtection="0"/>
    <xf numFmtId="0" fontId="76" fillId="41"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77" fillId="0" borderId="5"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78" fillId="0" borderId="7"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79" fillId="0" borderId="9"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7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80" fillId="42" borderId="1" applyNumberFormat="0" applyAlignment="0" applyProtection="0"/>
    <xf numFmtId="0" fontId="39" fillId="9" borderId="2" applyNumberFormat="0" applyAlignment="0" applyProtection="0"/>
    <xf numFmtId="0" fontId="39" fillId="9" borderId="2" applyNumberFormat="0" applyAlignment="0" applyProtection="0"/>
    <xf numFmtId="0" fontId="81" fillId="0" borderId="11"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82"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45" borderId="13" applyNumberFormat="0" applyFont="0" applyAlignment="0" applyProtection="0"/>
    <xf numFmtId="0" fontId="29" fillId="46" borderId="14" applyNumberFormat="0" applyFont="0" applyAlignment="0" applyProtection="0"/>
    <xf numFmtId="0" fontId="29" fillId="46" borderId="14" applyNumberFormat="0" applyFont="0" applyAlignment="0" applyProtection="0"/>
    <xf numFmtId="0" fontId="83" fillId="37" borderId="15" applyNumberFormat="0" applyAlignment="0" applyProtection="0"/>
    <xf numFmtId="0" fontId="42" fillId="38" borderId="16" applyNumberFormat="0" applyAlignment="0" applyProtection="0"/>
    <xf numFmtId="0" fontId="42" fillId="38"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8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5" fillId="0" borderId="17"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8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cellStyleXfs>
  <cellXfs count="229">
    <xf numFmtId="0" fontId="0" fillId="0" borderId="0" xfId="0" applyAlignment="1">
      <alignment/>
    </xf>
    <xf numFmtId="49" fontId="0" fillId="0" borderId="0" xfId="0" applyNumberFormat="1" applyFill="1" applyAlignment="1">
      <alignment/>
    </xf>
    <xf numFmtId="49" fontId="4" fillId="0" borderId="19" xfId="0" applyNumberFormat="1" applyFont="1" applyFill="1" applyBorder="1" applyAlignment="1">
      <alignment horizontal="left"/>
    </xf>
    <xf numFmtId="49" fontId="6" fillId="0" borderId="20"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1" xfId="0" applyNumberFormat="1" applyFont="1" applyFill="1" applyBorder="1" applyAlignment="1">
      <alignment/>
    </xf>
    <xf numFmtId="49" fontId="4" fillId="0" borderId="21" xfId="0" applyNumberFormat="1" applyFont="1" applyFill="1" applyBorder="1" applyAlignment="1">
      <alignment/>
    </xf>
    <xf numFmtId="49" fontId="4" fillId="0" borderId="19" xfId="0" applyNumberFormat="1" applyFont="1" applyFill="1" applyBorder="1" applyAlignment="1">
      <alignment horizontal="center" vertical="center" wrapText="1"/>
    </xf>
    <xf numFmtId="49" fontId="5" fillId="0" borderId="19" xfId="0" applyNumberFormat="1" applyFont="1" applyFill="1" applyBorder="1" applyAlignment="1">
      <alignment horizontal="center"/>
    </xf>
    <xf numFmtId="49" fontId="5" fillId="0" borderId="19" xfId="0" applyNumberFormat="1" applyFont="1" applyFill="1" applyBorder="1" applyAlignment="1">
      <alignment horizontal="left"/>
    </xf>
    <xf numFmtId="49" fontId="14" fillId="0" borderId="19" xfId="0" applyNumberFormat="1" applyFont="1" applyFill="1" applyBorder="1" applyAlignment="1">
      <alignment horizontal="center" vertical="center" wrapText="1"/>
    </xf>
    <xf numFmtId="49" fontId="5" fillId="0" borderId="22" xfId="0" applyNumberFormat="1" applyFont="1" applyFill="1" applyBorder="1" applyAlignment="1">
      <alignment horizontal="center"/>
    </xf>
    <xf numFmtId="49" fontId="10" fillId="0" borderId="19" xfId="0" applyNumberFormat="1" applyFont="1" applyFill="1" applyBorder="1" applyAlignment="1">
      <alignment horizontal="left"/>
    </xf>
    <xf numFmtId="49" fontId="4" fillId="0" borderId="19" xfId="0" applyNumberFormat="1" applyFont="1" applyFill="1" applyBorder="1" applyAlignment="1">
      <alignment horizontal="center"/>
    </xf>
    <xf numFmtId="49" fontId="6" fillId="0" borderId="19" xfId="0" applyNumberFormat="1" applyFont="1" applyFill="1" applyBorder="1" applyAlignment="1">
      <alignment horizontal="center"/>
    </xf>
    <xf numFmtId="49" fontId="15" fillId="0" borderId="19" xfId="0" applyNumberFormat="1" applyFont="1" applyFill="1" applyBorder="1" applyAlignment="1">
      <alignment horizontal="center"/>
    </xf>
    <xf numFmtId="49" fontId="17" fillId="0" borderId="0" xfId="0" applyNumberFormat="1" applyFont="1" applyFill="1" applyAlignment="1">
      <alignment/>
    </xf>
    <xf numFmtId="49" fontId="18" fillId="0" borderId="0" xfId="0" applyNumberFormat="1" applyFont="1" applyFill="1" applyAlignment="1">
      <alignment/>
    </xf>
    <xf numFmtId="49" fontId="2" fillId="0" borderId="0" xfId="0" applyNumberFormat="1" applyFont="1" applyFill="1" applyAlignment="1">
      <alignment/>
    </xf>
    <xf numFmtId="49" fontId="11" fillId="0" borderId="0" xfId="0" applyNumberFormat="1" applyFont="1" applyFill="1" applyAlignment="1">
      <alignment wrapText="1"/>
    </xf>
    <xf numFmtId="49" fontId="3" fillId="0" borderId="0" xfId="0" applyNumberFormat="1" applyFont="1" applyFill="1" applyAlignment="1">
      <alignment/>
    </xf>
    <xf numFmtId="49" fontId="2" fillId="0" borderId="0" xfId="0" applyNumberFormat="1" applyFont="1" applyFill="1" applyAlignment="1">
      <alignment wrapText="1"/>
    </xf>
    <xf numFmtId="49" fontId="4" fillId="0" borderId="19" xfId="0" applyNumberFormat="1" applyFont="1" applyFill="1" applyBorder="1" applyAlignment="1">
      <alignment/>
    </xf>
    <xf numFmtId="49" fontId="13" fillId="0" borderId="0" xfId="0" applyNumberFormat="1" applyFont="1" applyFill="1" applyBorder="1" applyAlignment="1">
      <alignment vertical="center" wrapText="1"/>
    </xf>
    <xf numFmtId="49" fontId="16" fillId="0" borderId="0" xfId="0" applyNumberFormat="1" applyFont="1" applyFill="1" applyAlignment="1">
      <alignment/>
    </xf>
    <xf numFmtId="49" fontId="19" fillId="0" borderId="0" xfId="0" applyNumberFormat="1" applyFont="1" applyFill="1" applyBorder="1" applyAlignment="1">
      <alignment vertical="center" wrapText="1"/>
    </xf>
    <xf numFmtId="186" fontId="12" fillId="0" borderId="0" xfId="93" applyNumberFormat="1" applyFont="1" applyBorder="1" applyAlignment="1">
      <alignment horizontal="center" wrapText="1"/>
    </xf>
    <xf numFmtId="186" fontId="5" fillId="47" borderId="19" xfId="93" applyNumberFormat="1" applyFont="1" applyFill="1" applyBorder="1" applyAlignment="1" applyProtection="1">
      <alignment horizontal="center" vertical="center"/>
      <protection/>
    </xf>
    <xf numFmtId="186" fontId="2" fillId="47" borderId="19" xfId="93" applyNumberFormat="1" applyFont="1" applyFill="1" applyBorder="1" applyAlignment="1" applyProtection="1">
      <alignment vertical="center"/>
      <protection/>
    </xf>
    <xf numFmtId="186" fontId="23" fillId="47" borderId="20" xfId="93" applyNumberFormat="1" applyFont="1" applyFill="1" applyBorder="1" applyAlignment="1">
      <alignment horizontal="center"/>
    </xf>
    <xf numFmtId="186" fontId="23" fillId="47" borderId="19" xfId="93" applyNumberFormat="1" applyFont="1" applyFill="1" applyBorder="1" applyAlignment="1" applyProtection="1">
      <alignment horizontal="center" vertical="center"/>
      <protection/>
    </xf>
    <xf numFmtId="171" fontId="23" fillId="47" borderId="19" xfId="93" applyNumberFormat="1" applyFont="1" applyFill="1" applyBorder="1" applyAlignment="1">
      <alignment horizontal="center"/>
    </xf>
    <xf numFmtId="186" fontId="24" fillId="0" borderId="0" xfId="0" applyNumberFormat="1" applyFont="1" applyAlignment="1">
      <alignment/>
    </xf>
    <xf numFmtId="0" fontId="1" fillId="47" borderId="23" xfId="0" applyFont="1" applyFill="1" applyBorder="1" applyAlignment="1">
      <alignment horizontal="left"/>
    </xf>
    <xf numFmtId="186" fontId="23" fillId="47" borderId="23" xfId="93" applyNumberFormat="1" applyFont="1" applyFill="1" applyBorder="1" applyAlignment="1">
      <alignment horizontal="center"/>
    </xf>
    <xf numFmtId="186" fontId="25" fillId="47" borderId="24" xfId="93" applyNumberFormat="1" applyFont="1" applyFill="1" applyBorder="1" applyAlignment="1" applyProtection="1">
      <alignment horizontal="center" vertical="center"/>
      <protection/>
    </xf>
    <xf numFmtId="186" fontId="25" fillId="47" borderId="23" xfId="93" applyNumberFormat="1" applyFont="1" applyFill="1" applyBorder="1" applyAlignment="1" applyProtection="1">
      <alignment horizontal="center" vertical="center"/>
      <protection/>
    </xf>
    <xf numFmtId="186" fontId="23" fillId="44" borderId="24" xfId="93" applyNumberFormat="1" applyFont="1" applyFill="1" applyBorder="1" applyAlignment="1" applyProtection="1">
      <alignment horizontal="center" vertical="center"/>
      <protection/>
    </xf>
    <xf numFmtId="186" fontId="25" fillId="47" borderId="25" xfId="93" applyNumberFormat="1" applyFont="1" applyFill="1" applyBorder="1" applyAlignment="1" applyProtection="1">
      <alignment horizontal="center" vertical="center"/>
      <protection/>
    </xf>
    <xf numFmtId="186" fontId="4" fillId="47" borderId="24" xfId="93" applyNumberFormat="1" applyFont="1" applyFill="1" applyBorder="1" applyAlignment="1" applyProtection="1" quotePrefix="1">
      <alignment horizontal="center" vertical="center"/>
      <protection/>
    </xf>
    <xf numFmtId="0" fontId="1" fillId="47" borderId="24" xfId="0" applyFont="1" applyFill="1" applyBorder="1" applyAlignment="1">
      <alignment horizontal="left"/>
    </xf>
    <xf numFmtId="186" fontId="23" fillId="47" borderId="24" xfId="93" applyNumberFormat="1" applyFont="1" applyFill="1" applyBorder="1" applyAlignment="1">
      <alignment horizontal="center"/>
    </xf>
    <xf numFmtId="171" fontId="23" fillId="47" borderId="24" xfId="93" applyNumberFormat="1" applyFont="1" applyFill="1" applyBorder="1" applyAlignment="1">
      <alignment horizontal="center"/>
    </xf>
    <xf numFmtId="0" fontId="4" fillId="47" borderId="24" xfId="0" applyFont="1" applyFill="1" applyBorder="1" applyAlignment="1">
      <alignment horizontal="left"/>
    </xf>
    <xf numFmtId="0" fontId="4" fillId="47" borderId="26" xfId="0" applyFont="1" applyFill="1" applyBorder="1" applyAlignment="1">
      <alignment horizontal="left"/>
    </xf>
    <xf numFmtId="186" fontId="23" fillId="47" borderId="26" xfId="93" applyNumberFormat="1" applyFont="1" applyFill="1" applyBorder="1" applyAlignment="1">
      <alignment horizontal="center"/>
    </xf>
    <xf numFmtId="186" fontId="25" fillId="47" borderId="26" xfId="93" applyNumberFormat="1" applyFont="1" applyFill="1" applyBorder="1" applyAlignment="1" applyProtection="1">
      <alignment horizontal="center" vertical="center"/>
      <protection/>
    </xf>
    <xf numFmtId="186" fontId="25" fillId="47" borderId="27" xfId="93" applyNumberFormat="1" applyFont="1" applyFill="1" applyBorder="1" applyAlignment="1" applyProtection="1">
      <alignment horizontal="center" vertical="center"/>
      <protection/>
    </xf>
    <xf numFmtId="186" fontId="23" fillId="47" borderId="19" xfId="93" applyNumberFormat="1" applyFont="1" applyFill="1" applyBorder="1" applyAlignment="1">
      <alignment horizontal="center"/>
    </xf>
    <xf numFmtId="0" fontId="24" fillId="0" borderId="0" xfId="0" applyFont="1" applyAlignment="1">
      <alignment/>
    </xf>
    <xf numFmtId="186" fontId="23" fillId="47" borderId="25" xfId="93" applyNumberFormat="1" applyFont="1" applyFill="1" applyBorder="1" applyAlignment="1">
      <alignment horizontal="center"/>
    </xf>
    <xf numFmtId="186" fontId="5" fillId="47" borderId="24" xfId="93" applyNumberFormat="1" applyFont="1" applyFill="1" applyBorder="1" applyAlignment="1" applyProtection="1" quotePrefix="1">
      <alignment horizontal="center" vertical="center"/>
      <protection/>
    </xf>
    <xf numFmtId="0" fontId="4" fillId="47" borderId="27" xfId="0" applyFont="1" applyFill="1" applyBorder="1" applyAlignment="1">
      <alignment horizontal="left"/>
    </xf>
    <xf numFmtId="171" fontId="23" fillId="47" borderId="25" xfId="93" applyNumberFormat="1" applyFont="1" applyFill="1" applyBorder="1" applyAlignment="1">
      <alignment horizontal="center"/>
    </xf>
    <xf numFmtId="186" fontId="23" fillId="44" borderId="27" xfId="93" applyNumberFormat="1" applyFont="1" applyFill="1" applyBorder="1" applyAlignment="1" applyProtection="1">
      <alignment horizontal="center" vertical="center"/>
      <protection/>
    </xf>
    <xf numFmtId="171" fontId="23" fillId="47" borderId="27" xfId="93" applyNumberFormat="1" applyFont="1" applyFill="1" applyBorder="1" applyAlignment="1">
      <alignment horizontal="center"/>
    </xf>
    <xf numFmtId="186" fontId="23" fillId="44" borderId="25" xfId="93" applyNumberFormat="1" applyFont="1" applyFill="1" applyBorder="1" applyAlignment="1" applyProtection="1">
      <alignment horizontal="center" vertical="center"/>
      <protection/>
    </xf>
    <xf numFmtId="186" fontId="6" fillId="47" borderId="19" xfId="93" applyNumberFormat="1" applyFont="1" applyFill="1" applyBorder="1" applyAlignment="1" applyProtection="1">
      <alignment vertical="center"/>
      <protection/>
    </xf>
    <xf numFmtId="186" fontId="5" fillId="47" borderId="26" xfId="93" applyNumberFormat="1" applyFont="1" applyFill="1" applyBorder="1" applyAlignment="1" applyProtection="1" quotePrefix="1">
      <alignment horizontal="center" vertical="center"/>
      <protection/>
    </xf>
    <xf numFmtId="0" fontId="1" fillId="47" borderId="26" xfId="0" applyFont="1" applyFill="1" applyBorder="1" applyAlignment="1">
      <alignment horizontal="left"/>
    </xf>
    <xf numFmtId="0" fontId="24" fillId="47" borderId="0" xfId="0" applyFont="1" applyFill="1" applyAlignment="1">
      <alignment/>
    </xf>
    <xf numFmtId="186" fontId="5" fillId="47" borderId="23" xfId="93" applyNumberFormat="1" applyFont="1" applyFill="1" applyBorder="1" applyAlignment="1" applyProtection="1" quotePrefix="1">
      <alignment horizontal="center" vertical="center"/>
      <protection/>
    </xf>
    <xf numFmtId="186" fontId="3" fillId="47" borderId="23" xfId="93" applyNumberFormat="1" applyFont="1" applyFill="1" applyBorder="1" applyAlignment="1" applyProtection="1">
      <alignment vertical="center"/>
      <protection/>
    </xf>
    <xf numFmtId="186" fontId="4" fillId="47" borderId="23" xfId="93" applyNumberFormat="1" applyFont="1" applyFill="1" applyBorder="1" applyAlignment="1" applyProtection="1" quotePrefix="1">
      <alignment horizontal="center" vertical="center"/>
      <protection/>
    </xf>
    <xf numFmtId="186" fontId="4" fillId="47" borderId="26" xfId="93" applyNumberFormat="1" applyFont="1" applyFill="1" applyBorder="1" applyAlignment="1" applyProtection="1" quotePrefix="1">
      <alignment horizontal="center" vertical="center"/>
      <protection/>
    </xf>
    <xf numFmtId="186" fontId="4" fillId="47" borderId="23" xfId="93" applyNumberFormat="1" applyFont="1" applyFill="1" applyBorder="1" applyAlignment="1" applyProtection="1">
      <alignment vertical="center"/>
      <protection/>
    </xf>
    <xf numFmtId="0" fontId="4" fillId="47" borderId="23" xfId="0" applyFont="1" applyFill="1" applyBorder="1" applyAlignment="1">
      <alignment horizontal="left"/>
    </xf>
    <xf numFmtId="0" fontId="4" fillId="47" borderId="28" xfId="0" applyFont="1" applyFill="1" applyBorder="1" applyAlignment="1">
      <alignment horizontal="left"/>
    </xf>
    <xf numFmtId="1" fontId="23" fillId="44" borderId="24" xfId="93" applyNumberFormat="1" applyFont="1" applyFill="1" applyBorder="1" applyAlignment="1" applyProtection="1">
      <alignment horizontal="center" vertical="center"/>
      <protection/>
    </xf>
    <xf numFmtId="186" fontId="23" fillId="44" borderId="23" xfId="93" applyNumberFormat="1" applyFont="1" applyFill="1" applyBorder="1" applyAlignment="1" applyProtection="1">
      <alignment horizontal="center" vertical="center"/>
      <protection/>
    </xf>
    <xf numFmtId="186" fontId="23" fillId="47" borderId="25" xfId="93" applyNumberFormat="1" applyFont="1" applyFill="1" applyBorder="1" applyAlignment="1" applyProtection="1">
      <alignment horizontal="center" vertical="center"/>
      <protection/>
    </xf>
    <xf numFmtId="186" fontId="4" fillId="47" borderId="23" xfId="93" applyNumberFormat="1" applyFont="1" applyFill="1" applyBorder="1" applyAlignment="1" applyProtection="1">
      <alignment horizontal="left" vertical="center"/>
      <protection/>
    </xf>
    <xf numFmtId="186" fontId="24" fillId="0" borderId="0" xfId="93" applyNumberFormat="1" applyFont="1" applyAlignment="1">
      <alignment/>
    </xf>
    <xf numFmtId="186" fontId="24" fillId="47" borderId="0" xfId="93" applyNumberFormat="1" applyFont="1" applyFill="1" applyAlignment="1">
      <alignment/>
    </xf>
    <xf numFmtId="171" fontId="23" fillId="47" borderId="0" xfId="93" applyNumberFormat="1" applyFont="1" applyFill="1" applyBorder="1" applyAlignment="1">
      <alignment horizontal="center"/>
    </xf>
    <xf numFmtId="186" fontId="23" fillId="44" borderId="19" xfId="93" applyNumberFormat="1" applyFont="1" applyFill="1" applyBorder="1" applyAlignment="1" applyProtection="1">
      <alignment horizontal="center" vertical="center"/>
      <protection/>
    </xf>
    <xf numFmtId="186" fontId="6" fillId="47" borderId="0" xfId="93" applyNumberFormat="1" applyFont="1" applyFill="1" applyBorder="1" applyAlignment="1">
      <alignment horizontal="center"/>
    </xf>
    <xf numFmtId="186" fontId="5" fillId="47" borderId="23" xfId="93" applyNumberFormat="1" applyFont="1" applyFill="1" applyBorder="1" applyAlignment="1" applyProtection="1">
      <alignment horizontal="center" vertical="center"/>
      <protection/>
    </xf>
    <xf numFmtId="186" fontId="23" fillId="47" borderId="23" xfId="93" applyNumberFormat="1" applyFont="1" applyFill="1" applyBorder="1" applyAlignment="1" applyProtection="1">
      <alignment horizontal="center" vertical="center"/>
      <protection/>
    </xf>
    <xf numFmtId="186" fontId="3" fillId="47" borderId="24" xfId="93" applyNumberFormat="1" applyFont="1" applyFill="1" applyBorder="1" applyAlignment="1" applyProtection="1">
      <alignment vertical="center"/>
      <protection/>
    </xf>
    <xf numFmtId="186" fontId="25" fillId="47" borderId="19" xfId="93" applyNumberFormat="1" applyFont="1" applyFill="1" applyBorder="1" applyAlignment="1" applyProtection="1">
      <alignment horizontal="center" vertical="center"/>
      <protection/>
    </xf>
    <xf numFmtId="186" fontId="10" fillId="47" borderId="19" xfId="93" applyNumberFormat="1" applyFont="1" applyFill="1" applyBorder="1" applyAlignment="1" applyProtection="1">
      <alignment vertical="center"/>
      <protection/>
    </xf>
    <xf numFmtId="186" fontId="4" fillId="47" borderId="23" xfId="93" applyNumberFormat="1" applyFont="1" applyFill="1" applyBorder="1" applyAlignment="1" applyProtection="1">
      <alignment horizontal="center" vertical="center"/>
      <protection/>
    </xf>
    <xf numFmtId="186" fontId="4" fillId="47" borderId="24" xfId="93" applyNumberFormat="1" applyFont="1" applyFill="1" applyBorder="1" applyAlignment="1" applyProtection="1">
      <alignment horizontal="center" vertical="center"/>
      <protection/>
    </xf>
    <xf numFmtId="0" fontId="4" fillId="47" borderId="25" xfId="0" applyFont="1" applyFill="1" applyBorder="1" applyAlignment="1">
      <alignment horizontal="left"/>
    </xf>
    <xf numFmtId="49" fontId="87" fillId="47" borderId="0" xfId="0" applyNumberFormat="1" applyFont="1" applyFill="1" applyAlignment="1">
      <alignment/>
    </xf>
    <xf numFmtId="186" fontId="87" fillId="47" borderId="0" xfId="93" applyNumberFormat="1" applyFont="1" applyFill="1" applyAlignment="1">
      <alignment/>
    </xf>
    <xf numFmtId="186" fontId="87" fillId="47" borderId="0" xfId="93" applyNumberFormat="1" applyFont="1" applyFill="1" applyAlignment="1">
      <alignment/>
    </xf>
    <xf numFmtId="186" fontId="87" fillId="47" borderId="0" xfId="93" applyNumberFormat="1" applyFont="1" applyFill="1" applyBorder="1" applyAlignment="1">
      <alignment/>
    </xf>
    <xf numFmtId="186" fontId="88" fillId="47" borderId="0" xfId="93" applyNumberFormat="1" applyFont="1" applyFill="1" applyBorder="1" applyAlignment="1">
      <alignment/>
    </xf>
    <xf numFmtId="0" fontId="87" fillId="0" borderId="0" xfId="0" applyFont="1" applyAlignment="1">
      <alignment/>
    </xf>
    <xf numFmtId="186" fontId="87" fillId="0" borderId="0" xfId="93" applyNumberFormat="1" applyFont="1" applyAlignment="1">
      <alignment/>
    </xf>
    <xf numFmtId="186" fontId="88" fillId="47" borderId="0" xfId="93" applyNumberFormat="1" applyFont="1" applyFill="1" applyBorder="1" applyAlignment="1">
      <alignment horizontal="center" wrapText="1"/>
    </xf>
    <xf numFmtId="186" fontId="87" fillId="47" borderId="0" xfId="93" applyNumberFormat="1" applyFont="1" applyFill="1" applyBorder="1" applyAlignment="1">
      <alignment horizontal="center" wrapText="1"/>
    </xf>
    <xf numFmtId="186" fontId="89" fillId="0" borderId="0" xfId="93" applyNumberFormat="1" applyFont="1" applyAlignment="1">
      <alignment/>
    </xf>
    <xf numFmtId="186" fontId="90" fillId="0" borderId="0" xfId="93" applyNumberFormat="1" applyFont="1" applyAlignment="1">
      <alignment/>
    </xf>
    <xf numFmtId="0" fontId="91" fillId="0" borderId="0" xfId="0" applyFont="1" applyAlignment="1">
      <alignment/>
    </xf>
    <xf numFmtId="186" fontId="91" fillId="0" borderId="0" xfId="93" applyNumberFormat="1" applyFont="1" applyAlignment="1">
      <alignment/>
    </xf>
    <xf numFmtId="186" fontId="91" fillId="0" borderId="0" xfId="0" applyNumberFormat="1" applyFont="1" applyAlignment="1">
      <alignment/>
    </xf>
    <xf numFmtId="0" fontId="89" fillId="0" borderId="0" xfId="0" applyFont="1" applyAlignment="1">
      <alignment/>
    </xf>
    <xf numFmtId="186" fontId="89" fillId="0" borderId="0" xfId="0" applyNumberFormat="1" applyFont="1" applyAlignment="1">
      <alignment/>
    </xf>
    <xf numFmtId="171" fontId="89" fillId="0" borderId="0" xfId="0" applyNumberFormat="1" applyFont="1" applyAlignment="1">
      <alignment/>
    </xf>
    <xf numFmtId="186" fontId="88" fillId="0" borderId="0" xfId="0" applyNumberFormat="1" applyFont="1" applyAlignment="1">
      <alignment/>
    </xf>
    <xf numFmtId="0" fontId="92" fillId="0" borderId="0" xfId="0" applyFont="1" applyAlignment="1">
      <alignment/>
    </xf>
    <xf numFmtId="186" fontId="13" fillId="47" borderId="0" xfId="93" applyNumberFormat="1" applyFont="1" applyFill="1" applyBorder="1" applyAlignment="1">
      <alignment horizontal="center" wrapText="1"/>
    </xf>
    <xf numFmtId="186" fontId="12" fillId="47" borderId="0" xfId="93" applyNumberFormat="1" applyFont="1" applyFill="1" applyBorder="1" applyAlignment="1">
      <alignment horizontal="center" wrapText="1"/>
    </xf>
    <xf numFmtId="186" fontId="24" fillId="47" borderId="0" xfId="93" applyNumberFormat="1" applyFont="1" applyFill="1" applyBorder="1" applyAlignment="1">
      <alignment/>
    </xf>
    <xf numFmtId="186" fontId="26" fillId="47" borderId="0" xfId="93" applyNumberFormat="1" applyFont="1" applyFill="1" applyBorder="1" applyAlignment="1">
      <alignment/>
    </xf>
    <xf numFmtId="49" fontId="2" fillId="47" borderId="0" xfId="0" applyNumberFormat="1" applyFont="1" applyFill="1" applyBorder="1" applyAlignment="1">
      <alignment/>
    </xf>
    <xf numFmtId="49" fontId="12" fillId="0" borderId="0" xfId="0" applyNumberFormat="1" applyFont="1" applyBorder="1" applyAlignment="1">
      <alignment horizontal="center" wrapText="1"/>
    </xf>
    <xf numFmtId="186" fontId="12" fillId="47" borderId="0" xfId="93" applyNumberFormat="1" applyFont="1" applyFill="1" applyBorder="1" applyAlignment="1">
      <alignment wrapText="1"/>
    </xf>
    <xf numFmtId="186" fontId="12" fillId="47" borderId="0" xfId="93" applyNumberFormat="1" applyFont="1" applyFill="1" applyBorder="1" applyAlignment="1">
      <alignment vertical="center"/>
    </xf>
    <xf numFmtId="186" fontId="6" fillId="47" borderId="0" xfId="93" applyNumberFormat="1" applyFont="1" applyFill="1" applyBorder="1" applyAlignment="1">
      <alignment vertical="center"/>
    </xf>
    <xf numFmtId="49" fontId="24" fillId="47" borderId="0" xfId="0" applyNumberFormat="1" applyFont="1" applyFill="1" applyAlignment="1">
      <alignment/>
    </xf>
    <xf numFmtId="186" fontId="24" fillId="47" borderId="0" xfId="93" applyNumberFormat="1" applyFont="1" applyFill="1" applyAlignment="1">
      <alignment/>
    </xf>
    <xf numFmtId="186" fontId="27" fillId="47" borderId="0" xfId="93" applyNumberFormat="1" applyFont="1" applyFill="1" applyAlignment="1">
      <alignment/>
    </xf>
    <xf numFmtId="186" fontId="26" fillId="47" borderId="0" xfId="93" applyNumberFormat="1" applyFont="1" applyFill="1" applyAlignment="1">
      <alignment/>
    </xf>
    <xf numFmtId="186" fontId="26" fillId="47" borderId="0" xfId="93" applyNumberFormat="1" applyFont="1" applyFill="1" applyAlignment="1">
      <alignment/>
    </xf>
    <xf numFmtId="49" fontId="3" fillId="47" borderId="0" xfId="0" applyNumberFormat="1" applyFont="1" applyFill="1" applyAlignment="1">
      <alignment wrapText="1"/>
    </xf>
    <xf numFmtId="186" fontId="3" fillId="47" borderId="0" xfId="93" applyNumberFormat="1" applyFont="1" applyFill="1" applyAlignment="1">
      <alignment wrapText="1"/>
    </xf>
    <xf numFmtId="186" fontId="6" fillId="47" borderId="0" xfId="93" applyNumberFormat="1" applyFont="1" applyFill="1" applyAlignment="1">
      <alignment wrapText="1"/>
    </xf>
    <xf numFmtId="0" fontId="27" fillId="0" borderId="0" xfId="0" applyFont="1" applyAlignment="1">
      <alignment/>
    </xf>
    <xf numFmtId="186" fontId="26" fillId="0" borderId="0" xfId="0" applyNumberFormat="1" applyFont="1" applyAlignment="1">
      <alignment/>
    </xf>
    <xf numFmtId="186" fontId="24" fillId="47" borderId="0" xfId="93" applyNumberFormat="1" applyFont="1" applyFill="1" applyBorder="1" applyAlignment="1">
      <alignment/>
    </xf>
    <xf numFmtId="186" fontId="13" fillId="47" borderId="0" xfId="93" applyNumberFormat="1" applyFont="1" applyFill="1" applyAlignment="1">
      <alignment/>
    </xf>
    <xf numFmtId="186" fontId="26" fillId="47" borderId="0" xfId="93" applyNumberFormat="1" applyFont="1" applyFill="1" applyBorder="1" applyAlignment="1">
      <alignment/>
    </xf>
    <xf numFmtId="49" fontId="24" fillId="47" borderId="0" xfId="0" applyNumberFormat="1" applyFont="1" applyFill="1" applyAlignment="1">
      <alignment/>
    </xf>
    <xf numFmtId="186" fontId="24" fillId="47" borderId="0" xfId="93" applyNumberFormat="1" applyFont="1" applyFill="1" applyAlignment="1">
      <alignment horizontal="center"/>
    </xf>
    <xf numFmtId="186" fontId="24" fillId="47" borderId="0" xfId="93" applyNumberFormat="1" applyFont="1" applyFill="1" applyBorder="1" applyAlignment="1">
      <alignment horizontal="center" wrapText="1"/>
    </xf>
    <xf numFmtId="186" fontId="26" fillId="47" borderId="0" xfId="93" applyNumberFormat="1" applyFont="1" applyFill="1" applyBorder="1" applyAlignment="1">
      <alignment horizontal="center" wrapText="1"/>
    </xf>
    <xf numFmtId="49" fontId="2" fillId="47" borderId="0" xfId="0" applyNumberFormat="1" applyFont="1" applyFill="1" applyAlignment="1">
      <alignment/>
    </xf>
    <xf numFmtId="186" fontId="2" fillId="47" borderId="0" xfId="93" applyNumberFormat="1" applyFont="1" applyFill="1" applyAlignment="1">
      <alignment/>
    </xf>
    <xf numFmtId="186" fontId="28" fillId="47" borderId="0" xfId="93" applyNumberFormat="1" applyFont="1" applyFill="1" applyAlignment="1">
      <alignment/>
    </xf>
    <xf numFmtId="186" fontId="26" fillId="47" borderId="0" xfId="93" applyNumberFormat="1" applyFont="1" applyFill="1" applyBorder="1" applyAlignment="1">
      <alignment horizontal="center"/>
    </xf>
    <xf numFmtId="186" fontId="24" fillId="47" borderId="0" xfId="93" applyNumberFormat="1" applyFont="1" applyFill="1" applyBorder="1" applyAlignment="1">
      <alignment horizontal="center"/>
    </xf>
    <xf numFmtId="186" fontId="3" fillId="47" borderId="0" xfId="93" applyNumberFormat="1" applyFont="1" applyFill="1" applyBorder="1" applyAlignment="1" applyProtection="1">
      <alignment horizontal="center" vertical="center" wrapText="1"/>
      <protection/>
    </xf>
    <xf numFmtId="186" fontId="7" fillId="47" borderId="0" xfId="93" applyNumberFormat="1" applyFont="1" applyFill="1" applyBorder="1" applyAlignment="1" applyProtection="1">
      <alignment horizontal="center" vertical="center" wrapText="1"/>
      <protection/>
    </xf>
    <xf numFmtId="186" fontId="3" fillId="47" borderId="0" xfId="93" applyNumberFormat="1" applyFont="1" applyFill="1" applyBorder="1" applyAlignment="1">
      <alignment horizontal="center" vertical="center" wrapText="1"/>
    </xf>
    <xf numFmtId="186" fontId="7" fillId="47" borderId="0" xfId="93" applyNumberFormat="1" applyFont="1" applyFill="1" applyBorder="1" applyAlignment="1">
      <alignment horizontal="center" vertical="center" wrapText="1"/>
    </xf>
    <xf numFmtId="186" fontId="7" fillId="47" borderId="19" xfId="93" applyNumberFormat="1" applyFont="1" applyFill="1" applyBorder="1" applyAlignment="1" applyProtection="1">
      <alignment horizontal="center" vertical="center"/>
      <protection/>
    </xf>
    <xf numFmtId="186" fontId="21" fillId="47" borderId="19" xfId="93" applyNumberFormat="1" applyFont="1" applyFill="1" applyBorder="1" applyAlignment="1" applyProtection="1">
      <alignment horizontal="center" vertical="center"/>
      <protection/>
    </xf>
    <xf numFmtId="186" fontId="7" fillId="47" borderId="0" xfId="93" applyNumberFormat="1" applyFont="1" applyFill="1" applyBorder="1" applyAlignment="1" applyProtection="1">
      <alignment horizontal="center" vertical="center"/>
      <protection/>
    </xf>
    <xf numFmtId="186" fontId="23" fillId="44" borderId="26" xfId="93" applyNumberFormat="1" applyFont="1" applyFill="1" applyBorder="1" applyAlignment="1" applyProtection="1">
      <alignment horizontal="center" vertical="center"/>
      <protection/>
    </xf>
    <xf numFmtId="171" fontId="23" fillId="47" borderId="26" xfId="93" applyNumberFormat="1" applyFont="1" applyFill="1" applyBorder="1" applyAlignment="1">
      <alignment horizontal="center"/>
    </xf>
    <xf numFmtId="171" fontId="23" fillId="47" borderId="23" xfId="93" applyNumberFormat="1" applyFont="1" applyFill="1" applyBorder="1" applyAlignment="1">
      <alignment horizontal="center"/>
    </xf>
    <xf numFmtId="186" fontId="5" fillId="47" borderId="25" xfId="93" applyNumberFormat="1" applyFont="1" applyFill="1" applyBorder="1" applyAlignment="1" applyProtection="1" quotePrefix="1">
      <alignment horizontal="center" vertical="center"/>
      <protection/>
    </xf>
    <xf numFmtId="186" fontId="5" fillId="47" borderId="27" xfId="93" applyNumberFormat="1" applyFont="1" applyFill="1" applyBorder="1" applyAlignment="1" applyProtection="1" quotePrefix="1">
      <alignment horizontal="center" vertical="center"/>
      <protection/>
    </xf>
    <xf numFmtId="0" fontId="93" fillId="47" borderId="24" xfId="0" applyFont="1" applyFill="1" applyBorder="1" applyAlignment="1">
      <alignment horizontal="left"/>
    </xf>
    <xf numFmtId="49" fontId="24" fillId="47" borderId="0" xfId="0" applyNumberFormat="1" applyFont="1" applyFill="1" applyAlignment="1">
      <alignment horizontal="left"/>
    </xf>
    <xf numFmtId="186" fontId="13" fillId="47" borderId="0" xfId="93" applyNumberFormat="1" applyFont="1" applyFill="1" applyAlignment="1">
      <alignment horizontal="center"/>
    </xf>
    <xf numFmtId="186" fontId="94" fillId="47" borderId="0" xfId="93" applyNumberFormat="1" applyFont="1" applyFill="1" applyAlignment="1">
      <alignment horizontal="center"/>
    </xf>
    <xf numFmtId="49" fontId="87" fillId="47" borderId="0" xfId="0" applyNumberFormat="1" applyFont="1" applyFill="1" applyAlignment="1">
      <alignment horizontal="left"/>
    </xf>
    <xf numFmtId="186" fontId="94" fillId="47" borderId="0" xfId="93" applyNumberFormat="1" applyFont="1" applyFill="1" applyAlignment="1">
      <alignment horizontal="center" wrapText="1"/>
    </xf>
    <xf numFmtId="186" fontId="87" fillId="47" borderId="0" xfId="93" applyNumberFormat="1" applyFont="1" applyFill="1" applyBorder="1" applyAlignment="1">
      <alignment horizontal="center" wrapText="1"/>
    </xf>
    <xf numFmtId="0" fontId="6" fillId="47" borderId="29" xfId="0" applyNumberFormat="1" applyFont="1" applyFill="1" applyBorder="1" applyAlignment="1">
      <alignment horizontal="center" vertical="center" wrapText="1"/>
    </xf>
    <xf numFmtId="0" fontId="6" fillId="47" borderId="30" xfId="0" applyNumberFormat="1" applyFont="1" applyFill="1" applyBorder="1" applyAlignment="1">
      <alignment horizontal="center" vertical="center" wrapText="1"/>
    </xf>
    <xf numFmtId="0" fontId="6" fillId="47" borderId="31" xfId="0" applyNumberFormat="1" applyFont="1" applyFill="1" applyBorder="1" applyAlignment="1">
      <alignment horizontal="center" vertical="center" wrapText="1"/>
    </xf>
    <xf numFmtId="0" fontId="6" fillId="47" borderId="32" xfId="0" applyNumberFormat="1" applyFont="1" applyFill="1" applyBorder="1" applyAlignment="1">
      <alignment horizontal="center" vertical="center" wrapText="1"/>
    </xf>
    <xf numFmtId="0" fontId="6" fillId="47" borderId="33" xfId="0" applyNumberFormat="1" applyFont="1" applyFill="1" applyBorder="1" applyAlignment="1">
      <alignment horizontal="center" vertical="center" wrapText="1"/>
    </xf>
    <xf numFmtId="0" fontId="6" fillId="47" borderId="34" xfId="0" applyNumberFormat="1" applyFont="1" applyFill="1" applyBorder="1" applyAlignment="1">
      <alignment horizontal="center" vertical="center" wrapText="1"/>
    </xf>
    <xf numFmtId="186" fontId="10" fillId="47" borderId="35" xfId="93" applyNumberFormat="1" applyFont="1" applyFill="1" applyBorder="1" applyAlignment="1" applyProtection="1">
      <alignment horizontal="center" vertical="center" wrapText="1"/>
      <protection/>
    </xf>
    <xf numFmtId="186" fontId="10" fillId="47" borderId="36" xfId="93" applyNumberFormat="1" applyFont="1" applyFill="1" applyBorder="1" applyAlignment="1">
      <alignment horizontal="center" vertical="center" wrapText="1"/>
    </xf>
    <xf numFmtId="186" fontId="10" fillId="47" borderId="37" xfId="93" applyNumberFormat="1" applyFont="1" applyFill="1" applyBorder="1" applyAlignment="1">
      <alignment horizontal="center" vertical="center" wrapText="1"/>
    </xf>
    <xf numFmtId="186" fontId="20" fillId="47" borderId="29" xfId="93" applyNumberFormat="1" applyFont="1" applyFill="1" applyBorder="1" applyAlignment="1">
      <alignment horizontal="center" vertical="center" wrapText="1"/>
    </xf>
    <xf numFmtId="186" fontId="20" fillId="47" borderId="31" xfId="93" applyNumberFormat="1" applyFont="1" applyFill="1" applyBorder="1" applyAlignment="1">
      <alignment horizontal="center" vertical="center" wrapText="1"/>
    </xf>
    <xf numFmtId="186" fontId="20" fillId="47" borderId="33" xfId="93" applyNumberFormat="1" applyFont="1" applyFill="1" applyBorder="1" applyAlignment="1">
      <alignment horizontal="center" vertical="center" wrapText="1"/>
    </xf>
    <xf numFmtId="186" fontId="20" fillId="47" borderId="20" xfId="93" applyNumberFormat="1" applyFont="1" applyFill="1" applyBorder="1" applyAlignment="1">
      <alignment horizontal="center" vertical="center" wrapText="1"/>
    </xf>
    <xf numFmtId="186" fontId="20" fillId="47" borderId="28" xfId="93" applyNumberFormat="1" applyFont="1" applyFill="1" applyBorder="1" applyAlignment="1">
      <alignment horizontal="center" vertical="center" wrapText="1"/>
    </xf>
    <xf numFmtId="186" fontId="20" fillId="47" borderId="22" xfId="93" applyNumberFormat="1" applyFont="1" applyFill="1" applyBorder="1" applyAlignment="1">
      <alignment horizontal="center" vertical="center" wrapText="1"/>
    </xf>
    <xf numFmtId="186" fontId="20" fillId="47" borderId="20" xfId="93" applyNumberFormat="1" applyFont="1" applyFill="1" applyBorder="1" applyAlignment="1" applyProtection="1">
      <alignment horizontal="center" vertical="center" wrapText="1"/>
      <protection/>
    </xf>
    <xf numFmtId="186" fontId="20" fillId="47" borderId="29" xfId="93" applyNumberFormat="1" applyFont="1" applyFill="1" applyBorder="1" applyAlignment="1" applyProtection="1">
      <alignment horizontal="center" vertical="center" wrapText="1"/>
      <protection/>
    </xf>
    <xf numFmtId="186" fontId="20" fillId="47" borderId="30" xfId="93" applyNumberFormat="1" applyFont="1" applyFill="1" applyBorder="1" applyAlignment="1">
      <alignment horizontal="center" vertical="center" wrapText="1"/>
    </xf>
    <xf numFmtId="186" fontId="20" fillId="47" borderId="34" xfId="93" applyNumberFormat="1" applyFont="1" applyFill="1" applyBorder="1" applyAlignment="1">
      <alignment horizontal="center" vertical="center" wrapText="1"/>
    </xf>
    <xf numFmtId="186" fontId="24" fillId="47" borderId="0" xfId="93" applyNumberFormat="1" applyFont="1" applyFill="1" applyBorder="1" applyAlignment="1">
      <alignment horizontal="center" wrapText="1"/>
    </xf>
    <xf numFmtId="186" fontId="24" fillId="47" borderId="21" xfId="93" applyNumberFormat="1" applyFont="1" applyFill="1" applyBorder="1" applyAlignment="1">
      <alignment horizontal="center"/>
    </xf>
    <xf numFmtId="186" fontId="5" fillId="47" borderId="35" xfId="93" applyNumberFormat="1" applyFont="1" applyFill="1" applyBorder="1" applyAlignment="1">
      <alignment horizontal="center" vertical="center"/>
    </xf>
    <xf numFmtId="186" fontId="5" fillId="47" borderId="36" xfId="93" applyNumberFormat="1" applyFont="1" applyFill="1" applyBorder="1" applyAlignment="1">
      <alignment horizontal="center" vertical="center"/>
    </xf>
    <xf numFmtId="186" fontId="5" fillId="47" borderId="37" xfId="93" applyNumberFormat="1" applyFont="1" applyFill="1" applyBorder="1" applyAlignment="1">
      <alignment horizontal="center" vertical="center"/>
    </xf>
    <xf numFmtId="186" fontId="7" fillId="47" borderId="20" xfId="93" applyNumberFormat="1" applyFont="1" applyFill="1" applyBorder="1" applyAlignment="1" applyProtection="1">
      <alignment horizontal="center" vertical="center" wrapText="1"/>
      <protection/>
    </xf>
    <xf numFmtId="186" fontId="7" fillId="47" borderId="28" xfId="93" applyNumberFormat="1" applyFont="1" applyFill="1" applyBorder="1" applyAlignment="1">
      <alignment horizontal="center" vertical="center" wrapText="1"/>
    </xf>
    <xf numFmtId="186" fontId="7" fillId="47" borderId="22" xfId="93" applyNumberFormat="1" applyFont="1" applyFill="1" applyBorder="1" applyAlignment="1">
      <alignment horizontal="center" vertical="center" wrapText="1"/>
    </xf>
    <xf numFmtId="186" fontId="20" fillId="47" borderId="32" xfId="93" applyNumberFormat="1" applyFont="1" applyFill="1" applyBorder="1" applyAlignment="1">
      <alignment horizontal="center" vertical="center" wrapText="1"/>
    </xf>
    <xf numFmtId="186" fontId="10" fillId="47" borderId="20" xfId="93" applyNumberFormat="1" applyFont="1" applyFill="1" applyBorder="1" applyAlignment="1">
      <alignment horizontal="center" vertical="center" wrapText="1"/>
    </xf>
    <xf numFmtId="186" fontId="10" fillId="47" borderId="28" xfId="93" applyNumberFormat="1" applyFont="1" applyFill="1" applyBorder="1" applyAlignment="1">
      <alignment horizontal="center" vertical="center" wrapText="1"/>
    </xf>
    <xf numFmtId="186" fontId="10" fillId="47" borderId="22" xfId="93" applyNumberFormat="1" applyFont="1" applyFill="1" applyBorder="1" applyAlignment="1">
      <alignment horizontal="center" vertical="center" wrapText="1"/>
    </xf>
    <xf numFmtId="186" fontId="20" fillId="47" borderId="38" xfId="93" applyNumberFormat="1" applyFont="1" applyFill="1" applyBorder="1" applyAlignment="1" applyProtection="1">
      <alignment horizontal="center" vertical="center" wrapText="1"/>
      <protection/>
    </xf>
    <xf numFmtId="186" fontId="20" fillId="47" borderId="30" xfId="93" applyNumberFormat="1" applyFont="1" applyFill="1" applyBorder="1" applyAlignment="1" applyProtection="1">
      <alignment horizontal="center" vertical="center" wrapText="1"/>
      <protection/>
    </xf>
    <xf numFmtId="186" fontId="20" fillId="47" borderId="35" xfId="93" applyNumberFormat="1" applyFont="1" applyFill="1" applyBorder="1" applyAlignment="1" applyProtection="1">
      <alignment horizontal="center" vertical="center" wrapText="1"/>
      <protection/>
    </xf>
    <xf numFmtId="186" fontId="20" fillId="47" borderId="36" xfId="93" applyNumberFormat="1" applyFont="1" applyFill="1" applyBorder="1" applyAlignment="1" applyProtection="1">
      <alignment horizontal="center" vertical="center" wrapText="1"/>
      <protection/>
    </xf>
    <xf numFmtId="186" fontId="20" fillId="47" borderId="37" xfId="93" applyNumberFormat="1" applyFont="1" applyFill="1" applyBorder="1" applyAlignment="1" applyProtection="1">
      <alignment horizontal="center" vertical="center" wrapText="1"/>
      <protection/>
    </xf>
    <xf numFmtId="186" fontId="20" fillId="47" borderId="19" xfId="93" applyNumberFormat="1" applyFont="1" applyFill="1" applyBorder="1" applyAlignment="1">
      <alignment horizontal="center" vertical="center" wrapText="1"/>
    </xf>
    <xf numFmtId="186" fontId="20" fillId="47" borderId="19" xfId="93" applyNumberFormat="1" applyFont="1" applyFill="1" applyBorder="1" applyAlignment="1" applyProtection="1">
      <alignment horizontal="center" vertical="center" wrapText="1"/>
      <protection/>
    </xf>
    <xf numFmtId="49" fontId="12" fillId="0" borderId="0" xfId="0" applyNumberFormat="1" applyFont="1" applyAlignment="1">
      <alignment horizontal="center"/>
    </xf>
    <xf numFmtId="186" fontId="12" fillId="47" borderId="0" xfId="93" applyNumberFormat="1" applyFont="1" applyFill="1" applyAlignment="1">
      <alignment horizontal="center"/>
    </xf>
    <xf numFmtId="49" fontId="5" fillId="47" borderId="35" xfId="0" applyNumberFormat="1" applyFont="1" applyFill="1" applyBorder="1" applyAlignment="1" applyProtection="1">
      <alignment horizontal="center" vertical="center" wrapText="1"/>
      <protection/>
    </xf>
    <xf numFmtId="49" fontId="5" fillId="47" borderId="37" xfId="0" applyNumberFormat="1" applyFont="1" applyFill="1" applyBorder="1" applyAlignment="1" applyProtection="1">
      <alignment horizontal="center" vertical="center" wrapText="1"/>
      <protection/>
    </xf>
    <xf numFmtId="49" fontId="13" fillId="47" borderId="0" xfId="0" applyNumberFormat="1" applyFont="1" applyFill="1" applyBorder="1" applyAlignment="1">
      <alignment horizontal="center" wrapText="1"/>
    </xf>
    <xf numFmtId="186" fontId="22" fillId="0" borderId="0" xfId="93" applyNumberFormat="1" applyFont="1" applyBorder="1" applyAlignment="1">
      <alignment horizontal="center" wrapText="1"/>
    </xf>
    <xf numFmtId="49" fontId="12" fillId="0" borderId="0" xfId="0" applyNumberFormat="1" applyFont="1" applyBorder="1" applyAlignment="1">
      <alignment horizontal="center" wrapText="1"/>
    </xf>
    <xf numFmtId="186" fontId="12" fillId="0" borderId="0" xfId="93" applyNumberFormat="1" applyFont="1" applyBorder="1" applyAlignment="1">
      <alignment horizontal="center" wrapText="1"/>
    </xf>
    <xf numFmtId="49" fontId="24" fillId="0" borderId="0" xfId="0" applyNumberFormat="1" applyFont="1" applyAlignment="1">
      <alignment horizontal="center" wrapText="1"/>
    </xf>
    <xf numFmtId="186" fontId="2" fillId="0" borderId="0" xfId="93" applyNumberFormat="1" applyFont="1" applyAlignment="1">
      <alignment horizontal="center"/>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6" fillId="0" borderId="35" xfId="0" applyNumberFormat="1" applyFont="1" applyFill="1" applyBorder="1" applyAlignment="1">
      <alignment horizontal="center" vertical="center" wrapText="1"/>
    </xf>
    <xf numFmtId="49" fontId="6" fillId="0" borderId="37" xfId="0" applyNumberFormat="1" applyFont="1" applyFill="1" applyBorder="1" applyAlignment="1">
      <alignment horizontal="center" vertical="center" wrapText="1"/>
    </xf>
    <xf numFmtId="49" fontId="2" fillId="0" borderId="0" xfId="0" applyNumberFormat="1" applyFont="1" applyFill="1" applyAlignment="1">
      <alignment horizontal="center" wrapText="1"/>
    </xf>
    <xf numFmtId="49" fontId="6" fillId="0" borderId="20" xfId="0" applyNumberFormat="1" applyFont="1" applyFill="1" applyBorder="1" applyAlignment="1">
      <alignment horizontal="center" vertical="center" wrapText="1"/>
    </xf>
    <xf numFmtId="0" fontId="3" fillId="0" borderId="28" xfId="0" applyFont="1" applyFill="1" applyBorder="1" applyAlignment="1">
      <alignment/>
    </xf>
    <xf numFmtId="49" fontId="11" fillId="0" borderId="0" xfId="0" applyNumberFormat="1" applyFont="1" applyFill="1" applyAlignment="1">
      <alignment horizontal="left" wrapText="1"/>
    </xf>
    <xf numFmtId="49" fontId="5" fillId="0" borderId="35"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49" fontId="6" fillId="0" borderId="35" xfId="0" applyNumberFormat="1" applyFont="1" applyFill="1" applyBorder="1" applyAlignment="1">
      <alignment horizontal="center"/>
    </xf>
    <xf numFmtId="49" fontId="6" fillId="0" borderId="37" xfId="0" applyNumberFormat="1" applyFont="1" applyFill="1" applyBorder="1" applyAlignment="1">
      <alignment horizontal="center"/>
    </xf>
    <xf numFmtId="49" fontId="13" fillId="0" borderId="0" xfId="0" applyNumberFormat="1" applyFont="1" applyFill="1" applyBorder="1" applyAlignment="1">
      <alignment horizontal="center" wrapText="1"/>
    </xf>
    <xf numFmtId="49" fontId="11" fillId="0" borderId="0" xfId="0" applyNumberFormat="1" applyFont="1" applyFill="1" applyAlignment="1">
      <alignment/>
    </xf>
    <xf numFmtId="49" fontId="13" fillId="0" borderId="38" xfId="0" applyNumberFormat="1" applyFont="1" applyFill="1" applyBorder="1" applyAlignment="1">
      <alignment horizontal="center"/>
    </xf>
    <xf numFmtId="49" fontId="12" fillId="0" borderId="0" xfId="0" applyNumberFormat="1" applyFont="1" applyFill="1" applyBorder="1" applyAlignment="1">
      <alignment horizontal="center"/>
    </xf>
    <xf numFmtId="49" fontId="16" fillId="0" borderId="0" xfId="0" applyNumberFormat="1" applyFont="1" applyFill="1" applyAlignment="1">
      <alignment horizontal="center"/>
    </xf>
    <xf numFmtId="0" fontId="6" fillId="0" borderId="29" xfId="0" applyNumberFormat="1" applyFont="1" applyFill="1" applyBorder="1" applyAlignment="1">
      <alignment horizontal="center" vertical="center" wrapText="1"/>
    </xf>
    <xf numFmtId="0" fontId="6" fillId="0" borderId="30" xfId="0" applyNumberFormat="1" applyFont="1" applyFill="1" applyBorder="1" applyAlignment="1">
      <alignment horizontal="center" vertical="center" wrapText="1"/>
    </xf>
    <xf numFmtId="0" fontId="6" fillId="0" borderId="31" xfId="0" applyNumberFormat="1"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distributed" wrapText="1"/>
    </xf>
    <xf numFmtId="0" fontId="3" fillId="0" borderId="37" xfId="0" applyFont="1" applyFill="1" applyBorder="1" applyAlignment="1">
      <alignment horizontal="center" vertical="distributed"/>
    </xf>
    <xf numFmtId="49" fontId="6" fillId="0" borderId="36" xfId="0" applyNumberFormat="1" applyFont="1" applyFill="1" applyBorder="1" applyAlignment="1">
      <alignment horizontal="center" vertical="center" wrapText="1"/>
    </xf>
  </cellXfs>
  <cellStyles count="14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omma 2 2" xfId="96"/>
    <cellStyle name="Comma 3" xfId="97"/>
    <cellStyle name="Currency" xfId="98"/>
    <cellStyle name="Currency [0]" xfId="99"/>
    <cellStyle name="Check Cell" xfId="100"/>
    <cellStyle name="Check Cell 2" xfId="101"/>
    <cellStyle name="Check Cell 3" xfId="102"/>
    <cellStyle name="Explanatory Text" xfId="103"/>
    <cellStyle name="Explanatory Text 2" xfId="104"/>
    <cellStyle name="Explanatory Text 3" xfId="105"/>
    <cellStyle name="Followed Hyperlink" xfId="106"/>
    <cellStyle name="Good" xfId="107"/>
    <cellStyle name="Good 2" xfId="108"/>
    <cellStyle name="Good 3" xfId="109"/>
    <cellStyle name="Heading 1" xfId="110"/>
    <cellStyle name="Heading 1 2" xfId="111"/>
    <cellStyle name="Heading 1 3" xfId="112"/>
    <cellStyle name="Heading 2" xfId="113"/>
    <cellStyle name="Heading 2 2" xfId="114"/>
    <cellStyle name="Heading 2 3" xfId="115"/>
    <cellStyle name="Heading 3" xfId="116"/>
    <cellStyle name="Heading 3 2" xfId="117"/>
    <cellStyle name="Heading 3 3" xfId="118"/>
    <cellStyle name="Heading 4" xfId="119"/>
    <cellStyle name="Heading 4 2" xfId="120"/>
    <cellStyle name="Heading 4 3" xfId="121"/>
    <cellStyle name="Hyperlink" xfId="122"/>
    <cellStyle name="Input" xfId="123"/>
    <cellStyle name="Input 2" xfId="124"/>
    <cellStyle name="Input 3" xfId="125"/>
    <cellStyle name="Linked Cell" xfId="126"/>
    <cellStyle name="Linked Cell 2" xfId="127"/>
    <cellStyle name="Linked Cell 3" xfId="128"/>
    <cellStyle name="Neutral" xfId="129"/>
    <cellStyle name="Neutral 2" xfId="130"/>
    <cellStyle name="Neutral 3" xfId="131"/>
    <cellStyle name="Normal 2" xfId="132"/>
    <cellStyle name="Normal 2 2" xfId="133"/>
    <cellStyle name="Normal 3" xfId="134"/>
    <cellStyle name="Normal 4" xfId="135"/>
    <cellStyle name="Normal 5" xfId="136"/>
    <cellStyle name="Normal 6" xfId="137"/>
    <cellStyle name="Normal 7" xfId="138"/>
    <cellStyle name="Note" xfId="139"/>
    <cellStyle name="Note 2" xfId="140"/>
    <cellStyle name="Note 3" xfId="141"/>
    <cellStyle name="Output" xfId="142"/>
    <cellStyle name="Output 2" xfId="143"/>
    <cellStyle name="Output 3" xfId="144"/>
    <cellStyle name="Percent" xfId="145"/>
    <cellStyle name="Percent 2" xfId="146"/>
    <cellStyle name="Percent 2 2" xfId="147"/>
    <cellStyle name="Percent 2 3" xfId="148"/>
    <cellStyle name="Percent 3" xfId="149"/>
    <cellStyle name="Percent 4" xfId="150"/>
    <cellStyle name="Title" xfId="151"/>
    <cellStyle name="Title 2" xfId="152"/>
    <cellStyle name="Title 3" xfId="153"/>
    <cellStyle name="Total" xfId="154"/>
    <cellStyle name="Total 2" xfId="155"/>
    <cellStyle name="Total 3" xfId="156"/>
    <cellStyle name="Warning Text" xfId="157"/>
    <cellStyle name="Warning Text 2" xfId="158"/>
    <cellStyle name="Warning Text 3" xfId="1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343025" y="2095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343025" y="2095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343025" y="2095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107"/>
  <sheetViews>
    <sheetView tabSelected="1" zoomScale="115" zoomScaleNormal="115" zoomScalePageLayoutView="0" workbookViewId="0" topLeftCell="C4">
      <pane ySplit="1" topLeftCell="A5" activePane="bottomLeft" state="frozen"/>
      <selection pane="topLeft" activeCell="B4" sqref="B4"/>
      <selection pane="bottomLeft" activeCell="V13" sqref="V13"/>
    </sheetView>
  </sheetViews>
  <sheetFormatPr defaultColWidth="9.00390625" defaultRowHeight="15.75"/>
  <cols>
    <col min="1" max="1" width="3.125" style="91" customWidth="1"/>
    <col min="2" max="2" width="14.50390625" style="91" customWidth="1"/>
    <col min="3" max="3" width="10.25390625" style="91" bestFit="1" customWidth="1"/>
    <col min="4" max="4" width="8.00390625" style="91" customWidth="1"/>
    <col min="5" max="5" width="6.375" style="91" customWidth="1"/>
    <col min="6" max="6" width="7.00390625" style="91" customWidth="1"/>
    <col min="7" max="7" width="5.125" style="91" customWidth="1"/>
    <col min="8" max="8" width="7.00390625" style="104" customWidth="1"/>
    <col min="9" max="9" width="7.25390625" style="104" customWidth="1"/>
    <col min="10" max="11" width="7.125" style="91" customWidth="1"/>
    <col min="12" max="12" width="5.125" style="91" customWidth="1"/>
    <col min="13" max="13" width="6.50390625" style="91" customWidth="1"/>
    <col min="14" max="14" width="7.375" style="91" customWidth="1"/>
    <col min="15" max="15" width="5.25390625" style="91" customWidth="1"/>
    <col min="16" max="16" width="3.50390625" style="91" customWidth="1"/>
    <col min="17" max="17" width="5.625" style="91" customWidth="1"/>
    <col min="18" max="18" width="6.75390625" style="91" customWidth="1"/>
    <col min="19" max="19" width="7.375" style="91" customWidth="1"/>
    <col min="20" max="20" width="5.375" style="91" customWidth="1"/>
    <col min="21" max="21" width="5.25390625" style="103" customWidth="1"/>
    <col min="22" max="22" width="9.125" style="91" customWidth="1"/>
    <col min="23" max="23" width="12.75390625" style="91" customWidth="1"/>
    <col min="24" max="24" width="13.125" style="92" bestFit="1" customWidth="1"/>
    <col min="25" max="16384" width="9.00390625" style="91" customWidth="1"/>
  </cols>
  <sheetData>
    <row r="1" spans="1:22" ht="16.5">
      <c r="A1" s="86" t="s">
        <v>15</v>
      </c>
      <c r="B1" s="86"/>
      <c r="C1" s="87"/>
      <c r="D1" s="88"/>
      <c r="E1" s="151" t="s">
        <v>131</v>
      </c>
      <c r="F1" s="151"/>
      <c r="G1" s="151"/>
      <c r="H1" s="151"/>
      <c r="I1" s="151"/>
      <c r="J1" s="151"/>
      <c r="K1" s="151"/>
      <c r="L1" s="151"/>
      <c r="M1" s="151"/>
      <c r="N1" s="151"/>
      <c r="O1" s="151"/>
      <c r="P1" s="151"/>
      <c r="Q1" s="89" t="s">
        <v>132</v>
      </c>
      <c r="R1" s="89"/>
      <c r="S1" s="89"/>
      <c r="T1" s="89"/>
      <c r="U1" s="90"/>
      <c r="V1" s="89"/>
    </row>
    <row r="2" spans="1:22" ht="16.5">
      <c r="A2" s="152" t="s">
        <v>66</v>
      </c>
      <c r="B2" s="152"/>
      <c r="C2" s="152"/>
      <c r="D2" s="152"/>
      <c r="E2" s="153" t="s">
        <v>18</v>
      </c>
      <c r="F2" s="153"/>
      <c r="G2" s="153"/>
      <c r="H2" s="153"/>
      <c r="I2" s="153"/>
      <c r="J2" s="153"/>
      <c r="K2" s="153"/>
      <c r="L2" s="153"/>
      <c r="M2" s="153"/>
      <c r="N2" s="153"/>
      <c r="O2" s="153"/>
      <c r="P2" s="153"/>
      <c r="Q2" s="154" t="s">
        <v>47</v>
      </c>
      <c r="R2" s="154"/>
      <c r="S2" s="154"/>
      <c r="T2" s="154"/>
      <c r="U2" s="93"/>
      <c r="V2" s="94"/>
    </row>
    <row r="3" spans="1:24" s="50" customFormat="1" ht="16.5">
      <c r="A3" s="149" t="s">
        <v>67</v>
      </c>
      <c r="B3" s="149"/>
      <c r="C3" s="149"/>
      <c r="D3" s="149"/>
      <c r="E3" s="150" t="s">
        <v>152</v>
      </c>
      <c r="F3" s="150"/>
      <c r="G3" s="150"/>
      <c r="H3" s="150"/>
      <c r="I3" s="150"/>
      <c r="J3" s="150"/>
      <c r="K3" s="150"/>
      <c r="L3" s="150"/>
      <c r="M3" s="150"/>
      <c r="N3" s="150"/>
      <c r="O3" s="150"/>
      <c r="P3" s="150"/>
      <c r="Q3" s="124" t="s">
        <v>133</v>
      </c>
      <c r="R3" s="125"/>
      <c r="S3" s="124"/>
      <c r="T3" s="124"/>
      <c r="U3" s="126"/>
      <c r="V3" s="124"/>
      <c r="X3" s="73"/>
    </row>
    <row r="4" spans="1:24" s="50" customFormat="1" ht="14.25">
      <c r="A4" s="127" t="s">
        <v>134</v>
      </c>
      <c r="B4" s="127"/>
      <c r="C4" s="115"/>
      <c r="D4" s="115"/>
      <c r="E4" s="115"/>
      <c r="F4" s="115"/>
      <c r="G4" s="115"/>
      <c r="H4" s="116"/>
      <c r="I4" s="116"/>
      <c r="J4" s="115"/>
      <c r="K4" s="115"/>
      <c r="L4" s="115"/>
      <c r="M4" s="115"/>
      <c r="N4" s="115"/>
      <c r="O4" s="128"/>
      <c r="P4" s="128"/>
      <c r="Q4" s="174" t="s">
        <v>68</v>
      </c>
      <c r="R4" s="174"/>
      <c r="S4" s="174"/>
      <c r="T4" s="174"/>
      <c r="U4" s="130"/>
      <c r="V4" s="129"/>
      <c r="X4" s="73"/>
    </row>
    <row r="5" spans="1:24" s="50" customFormat="1" ht="15.75">
      <c r="A5" s="114"/>
      <c r="B5" s="131"/>
      <c r="C5" s="132"/>
      <c r="D5" s="74"/>
      <c r="E5" s="74"/>
      <c r="F5" s="74"/>
      <c r="G5" s="74"/>
      <c r="H5" s="133"/>
      <c r="I5" s="133"/>
      <c r="J5" s="74"/>
      <c r="K5" s="74"/>
      <c r="L5" s="74"/>
      <c r="M5" s="74"/>
      <c r="N5" s="74"/>
      <c r="O5" s="74"/>
      <c r="P5" s="74"/>
      <c r="Q5" s="175" t="s">
        <v>135</v>
      </c>
      <c r="R5" s="175"/>
      <c r="S5" s="175"/>
      <c r="T5" s="175"/>
      <c r="U5" s="134"/>
      <c r="V5" s="135"/>
      <c r="X5" s="73"/>
    </row>
    <row r="6" spans="1:24" s="50" customFormat="1" ht="15">
      <c r="A6" s="155" t="s">
        <v>31</v>
      </c>
      <c r="B6" s="156"/>
      <c r="C6" s="161" t="s">
        <v>57</v>
      </c>
      <c r="D6" s="162"/>
      <c r="E6" s="163"/>
      <c r="F6" s="164" t="s">
        <v>49</v>
      </c>
      <c r="G6" s="167" t="s">
        <v>58</v>
      </c>
      <c r="H6" s="176" t="s">
        <v>51</v>
      </c>
      <c r="I6" s="177"/>
      <c r="J6" s="177"/>
      <c r="K6" s="177"/>
      <c r="L6" s="177"/>
      <c r="M6" s="177"/>
      <c r="N6" s="177"/>
      <c r="O6" s="177"/>
      <c r="P6" s="177"/>
      <c r="Q6" s="177"/>
      <c r="R6" s="178"/>
      <c r="S6" s="170" t="s">
        <v>155</v>
      </c>
      <c r="T6" s="179" t="s">
        <v>65</v>
      </c>
      <c r="U6" s="136"/>
      <c r="V6" s="137"/>
      <c r="X6" s="73"/>
    </row>
    <row r="7" spans="1:24" s="50" customFormat="1" ht="15">
      <c r="A7" s="157"/>
      <c r="B7" s="158"/>
      <c r="C7" s="170" t="s">
        <v>22</v>
      </c>
      <c r="D7" s="171" t="s">
        <v>5</v>
      </c>
      <c r="E7" s="172"/>
      <c r="F7" s="165"/>
      <c r="G7" s="168"/>
      <c r="H7" s="183" t="s">
        <v>16</v>
      </c>
      <c r="I7" s="171" t="s">
        <v>52</v>
      </c>
      <c r="J7" s="186"/>
      <c r="K7" s="186"/>
      <c r="L7" s="186"/>
      <c r="M7" s="186"/>
      <c r="N7" s="186"/>
      <c r="O7" s="186"/>
      <c r="P7" s="186"/>
      <c r="Q7" s="187"/>
      <c r="R7" s="172" t="s">
        <v>59</v>
      </c>
      <c r="S7" s="168"/>
      <c r="T7" s="180"/>
      <c r="U7" s="138"/>
      <c r="V7" s="139"/>
      <c r="X7" s="73"/>
    </row>
    <row r="8" spans="1:24" s="50" customFormat="1" ht="15">
      <c r="A8" s="157"/>
      <c r="B8" s="158"/>
      <c r="C8" s="168"/>
      <c r="D8" s="166"/>
      <c r="E8" s="173"/>
      <c r="F8" s="165"/>
      <c r="G8" s="168"/>
      <c r="H8" s="184"/>
      <c r="I8" s="183" t="s">
        <v>16</v>
      </c>
      <c r="J8" s="188" t="s">
        <v>5</v>
      </c>
      <c r="K8" s="189"/>
      <c r="L8" s="189"/>
      <c r="M8" s="189"/>
      <c r="N8" s="189"/>
      <c r="O8" s="189"/>
      <c r="P8" s="189"/>
      <c r="Q8" s="190"/>
      <c r="R8" s="182"/>
      <c r="S8" s="168"/>
      <c r="T8" s="180"/>
      <c r="U8" s="138"/>
      <c r="V8" s="139"/>
      <c r="X8" s="73"/>
    </row>
    <row r="9" spans="1:24" s="50" customFormat="1" ht="15">
      <c r="A9" s="157"/>
      <c r="B9" s="158"/>
      <c r="C9" s="168"/>
      <c r="D9" s="170" t="s">
        <v>60</v>
      </c>
      <c r="E9" s="170" t="s">
        <v>61</v>
      </c>
      <c r="F9" s="165"/>
      <c r="G9" s="168"/>
      <c r="H9" s="184"/>
      <c r="I9" s="184"/>
      <c r="J9" s="190" t="s">
        <v>62</v>
      </c>
      <c r="K9" s="192" t="s">
        <v>63</v>
      </c>
      <c r="L9" s="191" t="s">
        <v>56</v>
      </c>
      <c r="M9" s="191" t="s">
        <v>53</v>
      </c>
      <c r="N9" s="167" t="s">
        <v>64</v>
      </c>
      <c r="O9" s="167" t="s">
        <v>54</v>
      </c>
      <c r="P9" s="167" t="s">
        <v>156</v>
      </c>
      <c r="Q9" s="167" t="s">
        <v>55</v>
      </c>
      <c r="R9" s="182"/>
      <c r="S9" s="168"/>
      <c r="T9" s="180"/>
      <c r="U9" s="138"/>
      <c r="V9" s="139"/>
      <c r="X9" s="73"/>
    </row>
    <row r="10" spans="1:24" s="50" customFormat="1" ht="45.75" customHeight="1">
      <c r="A10" s="159"/>
      <c r="B10" s="160"/>
      <c r="C10" s="169"/>
      <c r="D10" s="169"/>
      <c r="E10" s="169"/>
      <c r="F10" s="166"/>
      <c r="G10" s="169"/>
      <c r="H10" s="185"/>
      <c r="I10" s="185"/>
      <c r="J10" s="190"/>
      <c r="K10" s="192"/>
      <c r="L10" s="191"/>
      <c r="M10" s="191"/>
      <c r="N10" s="169"/>
      <c r="O10" s="169" t="s">
        <v>54</v>
      </c>
      <c r="P10" s="169" t="s">
        <v>156</v>
      </c>
      <c r="Q10" s="169" t="s">
        <v>55</v>
      </c>
      <c r="R10" s="173"/>
      <c r="S10" s="169"/>
      <c r="T10" s="181"/>
      <c r="U10" s="138"/>
      <c r="V10" s="139"/>
      <c r="X10" s="73"/>
    </row>
    <row r="11" spans="1:24" s="50" customFormat="1" ht="14.25">
      <c r="A11" s="195" t="s">
        <v>4</v>
      </c>
      <c r="B11" s="196"/>
      <c r="C11" s="140">
        <v>1</v>
      </c>
      <c r="D11" s="140"/>
      <c r="E11" s="140">
        <v>3</v>
      </c>
      <c r="F11" s="140">
        <v>4</v>
      </c>
      <c r="G11" s="140">
        <v>5</v>
      </c>
      <c r="H11" s="141">
        <v>6</v>
      </c>
      <c r="I11" s="141">
        <v>7</v>
      </c>
      <c r="J11" s="140">
        <v>8</v>
      </c>
      <c r="K11" s="140">
        <v>9</v>
      </c>
      <c r="L11" s="140">
        <v>10</v>
      </c>
      <c r="M11" s="140">
        <v>11</v>
      </c>
      <c r="N11" s="140">
        <v>12</v>
      </c>
      <c r="O11" s="140">
        <v>13</v>
      </c>
      <c r="P11" s="140">
        <v>14</v>
      </c>
      <c r="Q11" s="140">
        <v>15</v>
      </c>
      <c r="R11" s="140">
        <v>16</v>
      </c>
      <c r="S11" s="140">
        <v>17</v>
      </c>
      <c r="T11" s="140">
        <v>18</v>
      </c>
      <c r="U11" s="77"/>
      <c r="V11" s="142"/>
      <c r="W11" s="33"/>
      <c r="X11" s="73"/>
    </row>
    <row r="12" spans="1:24" s="50" customFormat="1" ht="15.75" customHeight="1">
      <c r="A12" s="195" t="s">
        <v>16</v>
      </c>
      <c r="B12" s="196"/>
      <c r="C12" s="31">
        <f>+C13+C26</f>
        <v>1298055031.1</v>
      </c>
      <c r="D12" s="31">
        <f>+D13+D26</f>
        <v>1078883402.6</v>
      </c>
      <c r="E12" s="31">
        <f>+E13+E26</f>
        <v>219171628.5</v>
      </c>
      <c r="F12" s="31">
        <f>+F13+F26</f>
        <v>258191894.1</v>
      </c>
      <c r="G12" s="31">
        <f>+G13+G26</f>
        <v>22408</v>
      </c>
      <c r="H12" s="31">
        <f>+I12+R12</f>
        <v>1039863137</v>
      </c>
      <c r="I12" s="31">
        <f>+J12+K12+L12+M12+N12+O12+P12+Q12</f>
        <v>666472955</v>
      </c>
      <c r="J12" s="31">
        <f aca="true" t="shared" si="0" ref="J12:R12">+J13+J26</f>
        <v>133515123.1</v>
      </c>
      <c r="K12" s="31">
        <f t="shared" si="0"/>
        <v>24648696.4</v>
      </c>
      <c r="L12" s="31">
        <f t="shared" si="0"/>
        <v>29443</v>
      </c>
      <c r="M12" s="31">
        <f t="shared" si="0"/>
        <v>427495688.5</v>
      </c>
      <c r="N12" s="31">
        <f t="shared" si="0"/>
        <v>77671925</v>
      </c>
      <c r="O12" s="31">
        <f t="shared" si="0"/>
        <v>120846</v>
      </c>
      <c r="P12" s="31">
        <f t="shared" si="0"/>
        <v>0</v>
      </c>
      <c r="Q12" s="31">
        <f t="shared" si="0"/>
        <v>2991233</v>
      </c>
      <c r="R12" s="31">
        <f t="shared" si="0"/>
        <v>373390182</v>
      </c>
      <c r="S12" s="31">
        <f>+R12+Q12+P12+O12+N12+M12</f>
        <v>881669874.5</v>
      </c>
      <c r="T12" s="32">
        <f>+(J12+K12+L12)/I12*100</f>
        <v>23.735886252128566</v>
      </c>
      <c r="U12" s="77">
        <f>+C12-F12-J12-K12-L12-M12-N12-O12-Q12-R12</f>
        <v>0</v>
      </c>
      <c r="V12" s="75"/>
      <c r="W12" s="33"/>
      <c r="X12" s="73"/>
    </row>
    <row r="13" spans="1:24" s="50" customFormat="1" ht="14.25">
      <c r="A13" s="28" t="s">
        <v>4</v>
      </c>
      <c r="B13" s="82" t="s">
        <v>72</v>
      </c>
      <c r="C13" s="31">
        <f>+SUM(C14:C25)</f>
        <v>107897716</v>
      </c>
      <c r="D13" s="31">
        <f>+SUM(D14:D25)</f>
        <v>90830311</v>
      </c>
      <c r="E13" s="31">
        <f>+SUM(E14:E25)</f>
        <v>17067405</v>
      </c>
      <c r="F13" s="31">
        <f>+SUM(F14:F25)</f>
        <v>890952</v>
      </c>
      <c r="G13" s="31">
        <f>+SUM(G14:G25)</f>
        <v>11204</v>
      </c>
      <c r="H13" s="70">
        <f>+I13+R13</f>
        <v>107006764</v>
      </c>
      <c r="I13" s="31">
        <f>+J13+K13+L13+M13+N13+O13+P13+Q13+0</f>
        <v>82256458</v>
      </c>
      <c r="J13" s="31">
        <f>+SUM(J14:J25)</f>
        <v>18598459</v>
      </c>
      <c r="K13" s="31">
        <f aca="true" t="shared" si="1" ref="K13:S13">+SUM(K14:K25)</f>
        <v>207986</v>
      </c>
      <c r="L13" s="31">
        <f t="shared" si="1"/>
        <v>0</v>
      </c>
      <c r="M13" s="31">
        <f t="shared" si="1"/>
        <v>62904552</v>
      </c>
      <c r="N13" s="31">
        <f t="shared" si="1"/>
        <v>545461</v>
      </c>
      <c r="O13" s="31">
        <f t="shared" si="1"/>
        <v>0</v>
      </c>
      <c r="P13" s="31">
        <f t="shared" si="1"/>
        <v>0</v>
      </c>
      <c r="Q13" s="31">
        <f t="shared" si="1"/>
        <v>0</v>
      </c>
      <c r="R13" s="31">
        <f t="shared" si="1"/>
        <v>24750306</v>
      </c>
      <c r="S13" s="31">
        <f t="shared" si="1"/>
        <v>88200319</v>
      </c>
      <c r="T13" s="32">
        <f aca="true" t="shared" si="2" ref="T13:T64">+(J13+K13+L13)/I13*100</f>
        <v>22.86318358128185</v>
      </c>
      <c r="U13" s="77">
        <f>+C13-F13-J13-K13-M13-N13-R13</f>
        <v>0</v>
      </c>
      <c r="V13" s="75"/>
      <c r="W13" s="33"/>
      <c r="X13" s="73"/>
    </row>
    <row r="14" spans="1:24" s="50" customFormat="1" ht="16.5" customHeight="1">
      <c r="A14" s="83">
        <v>1</v>
      </c>
      <c r="B14" s="67" t="s">
        <v>144</v>
      </c>
      <c r="C14" s="35">
        <f>+D14+E14</f>
        <v>1587005</v>
      </c>
      <c r="D14" s="42">
        <v>73255</v>
      </c>
      <c r="E14" s="42">
        <f>1350+5300+1506600+300+200</f>
        <v>1513750</v>
      </c>
      <c r="F14" s="42">
        <v>67255</v>
      </c>
      <c r="G14" s="42"/>
      <c r="H14" s="70">
        <f>+I14+R14</f>
        <v>1519750</v>
      </c>
      <c r="I14" s="70">
        <f>SUM(J14:Q14)</f>
        <v>1519750</v>
      </c>
      <c r="J14" s="42">
        <f>7350+5300+300</f>
        <v>12950</v>
      </c>
      <c r="K14" s="42"/>
      <c r="L14" s="42"/>
      <c r="M14" s="42">
        <f>1511900-5300+200</f>
        <v>1506800</v>
      </c>
      <c r="N14" s="42"/>
      <c r="O14" s="42"/>
      <c r="P14" s="42"/>
      <c r="Q14" s="42"/>
      <c r="R14" s="42">
        <v>0</v>
      </c>
      <c r="S14" s="39">
        <f>+R14+Q14+P14+O14+N14+M14</f>
        <v>1506800</v>
      </c>
      <c r="T14" s="43">
        <f t="shared" si="2"/>
        <v>0.8521138345122553</v>
      </c>
      <c r="U14" s="77">
        <f aca="true" t="shared" si="3" ref="U14:U25">+C14-F14-J14-K14-M14-N14-R14</f>
        <v>0</v>
      </c>
      <c r="V14" s="75"/>
      <c r="W14" s="33"/>
      <c r="X14" s="73"/>
    </row>
    <row r="15" spans="1:24" s="50" customFormat="1" ht="16.5" customHeight="1">
      <c r="A15" s="84">
        <v>2</v>
      </c>
      <c r="B15" s="44" t="s">
        <v>70</v>
      </c>
      <c r="C15" s="42">
        <f aca="true" t="shared" si="4" ref="C15:C24">+D15+E15</f>
        <v>16771965</v>
      </c>
      <c r="D15" s="42">
        <f>14154528+6283</f>
        <v>14160811</v>
      </c>
      <c r="E15" s="42">
        <f>503140+14645+2070948+22421</f>
        <v>2611154</v>
      </c>
      <c r="F15" s="42">
        <v>13039</v>
      </c>
      <c r="G15" s="42"/>
      <c r="H15" s="38">
        <f>+I15+R15</f>
        <v>16758926</v>
      </c>
      <c r="I15" s="38">
        <f>SUM(J15:Q15)</f>
        <v>2604398</v>
      </c>
      <c r="J15" s="42">
        <f>307200+6283+4094</f>
        <v>317577</v>
      </c>
      <c r="K15" s="42"/>
      <c r="L15" s="42"/>
      <c r="M15" s="42">
        <f>195940+14645+2077231-6283-13039+22421-4094</f>
        <v>2286821</v>
      </c>
      <c r="N15" s="42"/>
      <c r="O15" s="42"/>
      <c r="P15" s="42"/>
      <c r="Q15" s="42"/>
      <c r="R15" s="42">
        <v>14154528</v>
      </c>
      <c r="S15" s="39">
        <f aca="true" t="shared" si="5" ref="S15:S25">+R15+Q15+P15+O15+N15+M15</f>
        <v>16441349</v>
      </c>
      <c r="T15" s="43">
        <f t="shared" si="2"/>
        <v>12.193873593820914</v>
      </c>
      <c r="U15" s="77">
        <f t="shared" si="3"/>
        <v>0</v>
      </c>
      <c r="V15" s="75"/>
      <c r="W15" s="33"/>
      <c r="X15" s="73"/>
    </row>
    <row r="16" spans="1:24" s="50" customFormat="1" ht="16.5" customHeight="1">
      <c r="A16" s="84">
        <v>3</v>
      </c>
      <c r="B16" s="41" t="s">
        <v>149</v>
      </c>
      <c r="C16" s="42">
        <f t="shared" si="4"/>
        <v>4377230</v>
      </c>
      <c r="D16" s="42">
        <v>480735</v>
      </c>
      <c r="E16" s="42">
        <f>800+7425+2953512+25905+908853</f>
        <v>3896495</v>
      </c>
      <c r="F16" s="42">
        <v>3775</v>
      </c>
      <c r="G16" s="42"/>
      <c r="H16" s="38">
        <f aca="true" t="shared" si="6" ref="H16:H25">+I16+R16</f>
        <v>4373455</v>
      </c>
      <c r="I16" s="38">
        <f aca="true" t="shared" si="7" ref="I16:I25">SUM(J16:Q16)</f>
        <v>2971687</v>
      </c>
      <c r="J16" s="42">
        <f>800+153512+2000+100000</f>
        <v>256312</v>
      </c>
      <c r="K16" s="42"/>
      <c r="L16" s="42"/>
      <c r="M16" s="42">
        <f>7425+2953512-153512-3775+25905-2000-12180-100000</f>
        <v>2715375</v>
      </c>
      <c r="N16" s="42"/>
      <c r="O16" s="42"/>
      <c r="P16" s="42"/>
      <c r="Q16" s="42"/>
      <c r="R16" s="42">
        <f>480735+908853+12180</f>
        <v>1401768</v>
      </c>
      <c r="S16" s="39">
        <f t="shared" si="5"/>
        <v>4117143</v>
      </c>
      <c r="T16" s="43">
        <f t="shared" si="2"/>
        <v>8.62513447748703</v>
      </c>
      <c r="U16" s="77">
        <f t="shared" si="3"/>
        <v>0</v>
      </c>
      <c r="V16" s="75"/>
      <c r="W16" s="33"/>
      <c r="X16" s="73"/>
    </row>
    <row r="17" spans="1:24" s="50" customFormat="1" ht="16.5" customHeight="1">
      <c r="A17" s="84">
        <v>4</v>
      </c>
      <c r="B17" s="44" t="s">
        <v>141</v>
      </c>
      <c r="C17" s="42">
        <f t="shared" si="4"/>
        <v>33843690</v>
      </c>
      <c r="D17" s="42">
        <v>27220536</v>
      </c>
      <c r="E17" s="42">
        <f>9576665-2953511</f>
        <v>6623154</v>
      </c>
      <c r="F17" s="42">
        <v>0</v>
      </c>
      <c r="G17" s="42"/>
      <c r="H17" s="38">
        <f t="shared" si="6"/>
        <v>33843690</v>
      </c>
      <c r="I17" s="38">
        <f t="shared" si="7"/>
        <v>24832046</v>
      </c>
      <c r="J17" s="42">
        <f>6623154</f>
        <v>6623154</v>
      </c>
      <c r="K17" s="42"/>
      <c r="L17" s="42"/>
      <c r="M17" s="42">
        <f>20616942-2953511</f>
        <v>17663431</v>
      </c>
      <c r="N17" s="42">
        <v>545461</v>
      </c>
      <c r="O17" s="42"/>
      <c r="P17" s="42"/>
      <c r="Q17" s="42"/>
      <c r="R17" s="42">
        <v>9011644</v>
      </c>
      <c r="S17" s="39">
        <f t="shared" si="5"/>
        <v>27220536</v>
      </c>
      <c r="T17" s="43">
        <f t="shared" si="2"/>
        <v>26.671801429491556</v>
      </c>
      <c r="U17" s="77">
        <f t="shared" si="3"/>
        <v>0</v>
      </c>
      <c r="V17" s="75"/>
      <c r="W17" s="33"/>
      <c r="X17" s="73"/>
    </row>
    <row r="18" spans="1:24" s="50" customFormat="1" ht="16.5" customHeight="1">
      <c r="A18" s="84">
        <v>5</v>
      </c>
      <c r="B18" s="41" t="s">
        <v>142</v>
      </c>
      <c r="C18" s="42">
        <f t="shared" si="4"/>
        <v>48756434</v>
      </c>
      <c r="D18" s="42">
        <v>48529321</v>
      </c>
      <c r="E18" s="42">
        <f>67233+3150+63370+93360</f>
        <v>227113</v>
      </c>
      <c r="F18" s="42">
        <v>10980</v>
      </c>
      <c r="G18" s="42"/>
      <c r="H18" s="38">
        <f t="shared" si="6"/>
        <v>48745454</v>
      </c>
      <c r="I18" s="38">
        <f t="shared" si="7"/>
        <v>48745454</v>
      </c>
      <c r="J18" s="42">
        <f>67233+10285033+52390+200</f>
        <v>10404856</v>
      </c>
      <c r="K18" s="42"/>
      <c r="L18" s="42"/>
      <c r="M18" s="42">
        <f>48529321+3150-10285033+93360-200</f>
        <v>38340598</v>
      </c>
      <c r="N18" s="42"/>
      <c r="O18" s="42"/>
      <c r="P18" s="42"/>
      <c r="Q18" s="42"/>
      <c r="R18" s="42"/>
      <c r="S18" s="39">
        <f t="shared" si="5"/>
        <v>38340598</v>
      </c>
      <c r="T18" s="43">
        <f t="shared" si="2"/>
        <v>21.345284834150892</v>
      </c>
      <c r="U18" s="77">
        <f t="shared" si="3"/>
        <v>0</v>
      </c>
      <c r="V18" s="75"/>
      <c r="W18" s="33"/>
      <c r="X18" s="73"/>
    </row>
    <row r="19" spans="1:24" s="50" customFormat="1" ht="16.5" customHeight="1">
      <c r="A19" s="84">
        <v>6</v>
      </c>
      <c r="B19" s="41" t="s">
        <v>77</v>
      </c>
      <c r="C19" s="42">
        <f t="shared" si="4"/>
        <v>775254</v>
      </c>
      <c r="D19" s="42">
        <v>30975</v>
      </c>
      <c r="E19" s="42">
        <f>710144+18642+5400+200+9893</f>
        <v>744279</v>
      </c>
      <c r="F19" s="42">
        <f>223660+88000+2900+5400</f>
        <v>319960</v>
      </c>
      <c r="G19" s="42"/>
      <c r="H19" s="38">
        <f t="shared" si="6"/>
        <v>455294</v>
      </c>
      <c r="I19" s="38">
        <f t="shared" si="7"/>
        <v>326850</v>
      </c>
      <c r="J19" s="42">
        <f>104785+400+25541+5200-1773+200+10200</f>
        <v>144553</v>
      </c>
      <c r="K19" s="42"/>
      <c r="L19" s="42"/>
      <c r="M19" s="42">
        <f>189131-8100+5400+1573-5400+9893-10200</f>
        <v>182297</v>
      </c>
      <c r="N19" s="42"/>
      <c r="O19" s="42"/>
      <c r="P19" s="42"/>
      <c r="Q19" s="42"/>
      <c r="R19" s="42">
        <f>128244+200</f>
        <v>128444</v>
      </c>
      <c r="S19" s="39">
        <f t="shared" si="5"/>
        <v>310741</v>
      </c>
      <c r="T19" s="43">
        <f t="shared" si="2"/>
        <v>44.22609759828667</v>
      </c>
      <c r="U19" s="77">
        <f t="shared" si="3"/>
        <v>0</v>
      </c>
      <c r="V19" s="75"/>
      <c r="W19" s="33"/>
      <c r="X19" s="73"/>
    </row>
    <row r="20" spans="1:24" s="50" customFormat="1" ht="16.5" customHeight="1">
      <c r="A20" s="84">
        <v>7</v>
      </c>
      <c r="B20" s="44" t="s">
        <v>81</v>
      </c>
      <c r="C20" s="42">
        <f t="shared" si="4"/>
        <v>500</v>
      </c>
      <c r="D20" s="42"/>
      <c r="E20" s="42">
        <v>500</v>
      </c>
      <c r="F20" s="42">
        <v>500</v>
      </c>
      <c r="G20" s="42"/>
      <c r="H20" s="38">
        <f t="shared" si="6"/>
        <v>0</v>
      </c>
      <c r="I20" s="38">
        <f t="shared" si="7"/>
        <v>0</v>
      </c>
      <c r="J20" s="42"/>
      <c r="K20" s="42"/>
      <c r="L20" s="42"/>
      <c r="M20" s="42">
        <v>0</v>
      </c>
      <c r="N20" s="42"/>
      <c r="O20" s="42"/>
      <c r="P20" s="42"/>
      <c r="Q20" s="42">
        <v>0</v>
      </c>
      <c r="R20" s="42"/>
      <c r="S20" s="39">
        <f t="shared" si="5"/>
        <v>0</v>
      </c>
      <c r="T20" s="43" t="e">
        <f t="shared" si="2"/>
        <v>#DIV/0!</v>
      </c>
      <c r="U20" s="77">
        <f t="shared" si="3"/>
        <v>0</v>
      </c>
      <c r="V20" s="75"/>
      <c r="W20" s="33"/>
      <c r="X20" s="73"/>
    </row>
    <row r="21" spans="1:24" s="50" customFormat="1" ht="16.5" customHeight="1">
      <c r="A21" s="84">
        <v>8</v>
      </c>
      <c r="B21" s="41" t="s">
        <v>73</v>
      </c>
      <c r="C21" s="42">
        <f t="shared" si="4"/>
        <v>483860</v>
      </c>
      <c r="D21" s="42">
        <f>724735-480735</f>
        <v>244000</v>
      </c>
      <c r="E21" s="42">
        <f>265765-25905</f>
        <v>239860</v>
      </c>
      <c r="F21" s="42">
        <v>9980</v>
      </c>
      <c r="G21" s="42">
        <v>11204</v>
      </c>
      <c r="H21" s="38">
        <f t="shared" si="6"/>
        <v>473880</v>
      </c>
      <c r="I21" s="38">
        <f t="shared" si="7"/>
        <v>473880</v>
      </c>
      <c r="J21" s="42">
        <f>265824+70</f>
        <v>265894</v>
      </c>
      <c r="K21" s="42">
        <v>207986</v>
      </c>
      <c r="L21" s="42"/>
      <c r="M21" s="42"/>
      <c r="N21" s="42"/>
      <c r="O21" s="42"/>
      <c r="P21" s="42"/>
      <c r="Q21" s="42"/>
      <c r="R21" s="42"/>
      <c r="S21" s="39">
        <f t="shared" si="5"/>
        <v>0</v>
      </c>
      <c r="T21" s="43">
        <f t="shared" si="2"/>
        <v>100</v>
      </c>
      <c r="U21" s="77">
        <f t="shared" si="3"/>
        <v>0</v>
      </c>
      <c r="V21" s="75"/>
      <c r="W21" s="33"/>
      <c r="X21" s="73"/>
    </row>
    <row r="22" spans="1:24" s="50" customFormat="1" ht="16.5" customHeight="1">
      <c r="A22" s="84">
        <v>9</v>
      </c>
      <c r="B22" s="44" t="s">
        <v>75</v>
      </c>
      <c r="C22" s="42">
        <f t="shared" si="4"/>
        <v>498752</v>
      </c>
      <c r="D22" s="42">
        <v>0</v>
      </c>
      <c r="E22" s="42">
        <f>410784+88168-200</f>
        <v>498752</v>
      </c>
      <c r="F22" s="42">
        <f>259829+3355</f>
        <v>263184</v>
      </c>
      <c r="G22" s="42"/>
      <c r="H22" s="38">
        <f t="shared" si="6"/>
        <v>235568</v>
      </c>
      <c r="I22" s="38">
        <f t="shared" si="7"/>
        <v>235568</v>
      </c>
      <c r="J22" s="42">
        <f>147600+35000</f>
        <v>182600</v>
      </c>
      <c r="K22" s="42"/>
      <c r="L22" s="42"/>
      <c r="M22" s="42">
        <f>3355+88168-3355-200-35000</f>
        <v>52968</v>
      </c>
      <c r="N22" s="42"/>
      <c r="O22" s="42"/>
      <c r="P22" s="42"/>
      <c r="Q22" s="42"/>
      <c r="R22" s="42"/>
      <c r="S22" s="39">
        <f t="shared" si="5"/>
        <v>52968</v>
      </c>
      <c r="T22" s="43">
        <f t="shared" si="2"/>
        <v>77.51477280445562</v>
      </c>
      <c r="U22" s="77">
        <f t="shared" si="3"/>
        <v>0</v>
      </c>
      <c r="V22" s="75"/>
      <c r="W22" s="33"/>
      <c r="X22" s="73"/>
    </row>
    <row r="23" spans="1:24" s="50" customFormat="1" ht="16.5" customHeight="1">
      <c r="A23" s="84">
        <v>10</v>
      </c>
      <c r="B23" s="44" t="s">
        <v>78</v>
      </c>
      <c r="C23" s="42">
        <f t="shared" si="4"/>
        <v>205015</v>
      </c>
      <c r="D23" s="42">
        <f>35139-6283</f>
        <v>28856</v>
      </c>
      <c r="E23" s="42">
        <f>2247107-2070948</f>
        <v>176159</v>
      </c>
      <c r="F23" s="42">
        <v>56631</v>
      </c>
      <c r="G23" s="42"/>
      <c r="H23" s="38">
        <f t="shared" si="6"/>
        <v>148384</v>
      </c>
      <c r="I23" s="38">
        <f t="shared" si="7"/>
        <v>148384</v>
      </c>
      <c r="J23" s="42">
        <f>148384</f>
        <v>148384</v>
      </c>
      <c r="K23" s="42"/>
      <c r="L23" s="42"/>
      <c r="M23" s="42">
        <v>0</v>
      </c>
      <c r="N23" s="42"/>
      <c r="O23" s="42"/>
      <c r="P23" s="42"/>
      <c r="Q23" s="42"/>
      <c r="R23" s="42"/>
      <c r="S23" s="39">
        <f t="shared" si="5"/>
        <v>0</v>
      </c>
      <c r="T23" s="43">
        <f t="shared" si="2"/>
        <v>100</v>
      </c>
      <c r="U23" s="77">
        <f t="shared" si="3"/>
        <v>0</v>
      </c>
      <c r="V23" s="75"/>
      <c r="W23" s="33"/>
      <c r="X23" s="73"/>
    </row>
    <row r="24" spans="1:24" s="50" customFormat="1" ht="16.5" customHeight="1">
      <c r="A24" s="84">
        <v>11</v>
      </c>
      <c r="B24" s="85" t="s">
        <v>143</v>
      </c>
      <c r="C24" s="42">
        <f t="shared" si="4"/>
        <v>220743</v>
      </c>
      <c r="D24" s="42">
        <v>61822</v>
      </c>
      <c r="E24" s="42">
        <f>32100+65056+61765</f>
        <v>158921</v>
      </c>
      <c r="F24" s="42">
        <v>10400</v>
      </c>
      <c r="G24" s="42"/>
      <c r="H24" s="38">
        <f t="shared" si="6"/>
        <v>210343</v>
      </c>
      <c r="I24" s="38">
        <f t="shared" si="7"/>
        <v>156421</v>
      </c>
      <c r="J24" s="42">
        <f>33100+400+1500+4763+6925</f>
        <v>46688</v>
      </c>
      <c r="K24" s="42"/>
      <c r="L24" s="42"/>
      <c r="M24" s="42">
        <f>6900+65056-10400-400-1500+61765-4763-6925</f>
        <v>109733</v>
      </c>
      <c r="N24" s="42"/>
      <c r="O24" s="42"/>
      <c r="P24" s="42"/>
      <c r="Q24" s="42"/>
      <c r="R24" s="42">
        <v>53922</v>
      </c>
      <c r="S24" s="39">
        <f t="shared" si="5"/>
        <v>163655</v>
      </c>
      <c r="T24" s="43">
        <f t="shared" si="2"/>
        <v>29.847654726667134</v>
      </c>
      <c r="U24" s="77">
        <f t="shared" si="3"/>
        <v>0</v>
      </c>
      <c r="V24" s="75"/>
      <c r="W24" s="33"/>
      <c r="X24" s="73"/>
    </row>
    <row r="25" spans="1:24" s="50" customFormat="1" ht="16.5" customHeight="1">
      <c r="A25" s="84">
        <v>12</v>
      </c>
      <c r="B25" s="85" t="s">
        <v>76</v>
      </c>
      <c r="C25" s="46">
        <f>+D25+E25</f>
        <v>377268</v>
      </c>
      <c r="D25" s="42">
        <v>0</v>
      </c>
      <c r="E25" s="42">
        <f>102937+209100+65030+201</f>
        <v>377268</v>
      </c>
      <c r="F25" s="42">
        <f>40200+87580+7468</f>
        <v>135248</v>
      </c>
      <c r="G25" s="42"/>
      <c r="H25" s="38">
        <f t="shared" si="6"/>
        <v>242020</v>
      </c>
      <c r="I25" s="38">
        <f t="shared" si="7"/>
        <v>242020</v>
      </c>
      <c r="J25" s="42">
        <f>55070+135020+400+4801+200</f>
        <v>195491</v>
      </c>
      <c r="K25" s="42"/>
      <c r="L25" s="42"/>
      <c r="M25" s="42">
        <f>7667+74080+65030-87580-400-7468+201-4801-200</f>
        <v>46529</v>
      </c>
      <c r="N25" s="42"/>
      <c r="O25" s="42"/>
      <c r="P25" s="42"/>
      <c r="Q25" s="42"/>
      <c r="R25" s="42"/>
      <c r="S25" s="39">
        <f t="shared" si="5"/>
        <v>46529</v>
      </c>
      <c r="T25" s="43">
        <f t="shared" si="2"/>
        <v>80.77472936120982</v>
      </c>
      <c r="U25" s="77">
        <f t="shared" si="3"/>
        <v>0</v>
      </c>
      <c r="V25" s="75"/>
      <c r="W25" s="33"/>
      <c r="X25" s="73"/>
    </row>
    <row r="26" spans="1:24" s="50" customFormat="1" ht="18" customHeight="1">
      <c r="A26" s="28" t="s">
        <v>122</v>
      </c>
      <c r="B26" s="82" t="s">
        <v>79</v>
      </c>
      <c r="C26" s="30">
        <f>D26+E26</f>
        <v>1190157315.1</v>
      </c>
      <c r="D26" s="31">
        <f>+D27+D38+D46+D53+D56+D62+D69+D74+D81+D88</f>
        <v>988053091.6</v>
      </c>
      <c r="E26" s="31">
        <f aca="true" t="shared" si="8" ref="E26:S26">+E27+E38+E46+E53+E56+E62+E69+E74+E81+E88</f>
        <v>202104223.5</v>
      </c>
      <c r="F26" s="31">
        <f t="shared" si="8"/>
        <v>257300942.1</v>
      </c>
      <c r="G26" s="31">
        <f t="shared" si="8"/>
        <v>11204</v>
      </c>
      <c r="H26" s="31">
        <f t="shared" si="8"/>
        <v>932856373</v>
      </c>
      <c r="I26" s="31">
        <f t="shared" si="8"/>
        <v>584216497</v>
      </c>
      <c r="J26" s="31">
        <f t="shared" si="8"/>
        <v>114916664.1</v>
      </c>
      <c r="K26" s="31">
        <f t="shared" si="8"/>
        <v>24440710.4</v>
      </c>
      <c r="L26" s="31">
        <f>+L27+L38+L46+L53+L56+L62+L69+L74+L81+L88</f>
        <v>29443</v>
      </c>
      <c r="M26" s="31">
        <f t="shared" si="8"/>
        <v>364591136.5</v>
      </c>
      <c r="N26" s="31">
        <f t="shared" si="8"/>
        <v>77126464</v>
      </c>
      <c r="O26" s="31">
        <f t="shared" si="8"/>
        <v>120846</v>
      </c>
      <c r="P26" s="31">
        <f t="shared" si="8"/>
        <v>0</v>
      </c>
      <c r="Q26" s="31">
        <f t="shared" si="8"/>
        <v>2991233</v>
      </c>
      <c r="R26" s="31">
        <f t="shared" si="8"/>
        <v>348639876</v>
      </c>
      <c r="S26" s="31">
        <f t="shared" si="8"/>
        <v>793469555.5</v>
      </c>
      <c r="T26" s="32">
        <f t="shared" si="2"/>
        <v>23.858760958610862</v>
      </c>
      <c r="U26" s="77">
        <f aca="true" t="shared" si="9" ref="U26:U82">+C26-F26-H26</f>
        <v>0</v>
      </c>
      <c r="V26" s="75"/>
      <c r="W26" s="33"/>
      <c r="X26" s="73"/>
    </row>
    <row r="27" spans="1:24" s="50" customFormat="1" ht="18" customHeight="1">
      <c r="A27" s="28" t="s">
        <v>0</v>
      </c>
      <c r="B27" s="29" t="s">
        <v>80</v>
      </c>
      <c r="C27" s="49">
        <f>D27+E27</f>
        <v>370371694</v>
      </c>
      <c r="D27" s="31">
        <f>+SUM(D28:D37)</f>
        <v>291412186</v>
      </c>
      <c r="E27" s="31">
        <f aca="true" t="shared" si="10" ref="E27:S27">+SUM(E28:E37)</f>
        <v>78959508</v>
      </c>
      <c r="F27" s="31">
        <f t="shared" si="10"/>
        <v>22234526</v>
      </c>
      <c r="G27" s="31">
        <f t="shared" si="10"/>
        <v>11204</v>
      </c>
      <c r="H27" s="31">
        <f t="shared" si="10"/>
        <v>348137168</v>
      </c>
      <c r="I27" s="31">
        <f t="shared" si="10"/>
        <v>132536105</v>
      </c>
      <c r="J27" s="31">
        <f t="shared" si="10"/>
        <v>36582280</v>
      </c>
      <c r="K27" s="31">
        <f t="shared" si="10"/>
        <v>6378155</v>
      </c>
      <c r="L27" s="31">
        <f t="shared" si="10"/>
        <v>10243</v>
      </c>
      <c r="M27" s="31">
        <f t="shared" si="10"/>
        <v>22544483</v>
      </c>
      <c r="N27" s="31">
        <f t="shared" si="10"/>
        <v>64615339</v>
      </c>
      <c r="O27" s="31">
        <f t="shared" si="10"/>
        <v>37600</v>
      </c>
      <c r="P27" s="31">
        <f t="shared" si="10"/>
        <v>0</v>
      </c>
      <c r="Q27" s="31">
        <f t="shared" si="10"/>
        <v>2368005</v>
      </c>
      <c r="R27" s="31">
        <f t="shared" si="10"/>
        <v>215601063</v>
      </c>
      <c r="S27" s="31">
        <f t="shared" si="10"/>
        <v>305166490</v>
      </c>
      <c r="T27" s="32">
        <f>+(J27+K27+L27)/I27*100</f>
        <v>32.421865724815135</v>
      </c>
      <c r="U27" s="77">
        <f t="shared" si="9"/>
        <v>0</v>
      </c>
      <c r="V27" s="75"/>
      <c r="W27" s="33"/>
      <c r="X27" s="73"/>
    </row>
    <row r="28" spans="1:24" s="50" customFormat="1" ht="18" customHeight="1">
      <c r="A28" s="78">
        <v>1</v>
      </c>
      <c r="B28" s="66" t="s">
        <v>107</v>
      </c>
      <c r="C28" s="51">
        <f aca="true" t="shared" si="11" ref="C28:C83">D28+E28</f>
        <v>108216326</v>
      </c>
      <c r="D28" s="79">
        <v>92646372</v>
      </c>
      <c r="E28" s="79">
        <v>15569954</v>
      </c>
      <c r="F28" s="79">
        <v>4400</v>
      </c>
      <c r="G28" s="79"/>
      <c r="H28" s="70">
        <f>+I28+R28</f>
        <v>108211926</v>
      </c>
      <c r="I28" s="70">
        <f>+J28+K28+M28+N28+O28+P28+Q28+L28</f>
        <v>60703467</v>
      </c>
      <c r="J28" s="79">
        <v>1587477</v>
      </c>
      <c r="K28" s="79">
        <v>68720</v>
      </c>
      <c r="L28" s="79">
        <v>0</v>
      </c>
      <c r="M28" s="79">
        <v>5592210</v>
      </c>
      <c r="N28" s="79">
        <v>52789580</v>
      </c>
      <c r="O28" s="79"/>
      <c r="P28" s="79"/>
      <c r="Q28" s="79">
        <v>665480</v>
      </c>
      <c r="R28" s="79">
        <v>47508459</v>
      </c>
      <c r="S28" s="37">
        <f>+R28+Q28+P28+O28+N28+M28</f>
        <v>106555729</v>
      </c>
      <c r="T28" s="145">
        <f>+(J28+K28+L28)/I28*100</f>
        <v>2.728340046870799</v>
      </c>
      <c r="U28" s="77">
        <f t="shared" si="9"/>
        <v>0</v>
      </c>
      <c r="V28" s="75"/>
      <c r="W28" s="33"/>
      <c r="X28" s="73"/>
    </row>
    <row r="29" spans="1:24" s="50" customFormat="1" ht="18" customHeight="1">
      <c r="A29" s="40">
        <v>2</v>
      </c>
      <c r="B29" s="44" t="s">
        <v>149</v>
      </c>
      <c r="C29" s="42">
        <f t="shared" si="11"/>
        <v>11236246</v>
      </c>
      <c r="D29" s="36">
        <v>7174344</v>
      </c>
      <c r="E29" s="36">
        <v>4061902</v>
      </c>
      <c r="F29" s="36">
        <v>3638505</v>
      </c>
      <c r="G29" s="36"/>
      <c r="H29" s="38">
        <f aca="true" t="shared" si="12" ref="H29:H39">+I29+R29</f>
        <v>7597741</v>
      </c>
      <c r="I29" s="38">
        <f aca="true" t="shared" si="13" ref="I29:I39">+J29+K29+M29+N29+O29+P29+Q29+L29</f>
        <v>7597741</v>
      </c>
      <c r="J29" s="36">
        <v>4366876</v>
      </c>
      <c r="K29" s="36">
        <v>3230865</v>
      </c>
      <c r="L29" s="36"/>
      <c r="M29" s="36">
        <v>0</v>
      </c>
      <c r="N29" s="36"/>
      <c r="O29" s="36">
        <v>0</v>
      </c>
      <c r="P29" s="36"/>
      <c r="Q29" s="36">
        <v>0</v>
      </c>
      <c r="R29" s="36">
        <v>0</v>
      </c>
      <c r="S29" s="36">
        <f aca="true" t="shared" si="14" ref="S29:S37">+R29+Q29+P29+O29+N29+M29</f>
        <v>0</v>
      </c>
      <c r="T29" s="43">
        <f t="shared" si="2"/>
        <v>100</v>
      </c>
      <c r="U29" s="77">
        <f t="shared" si="9"/>
        <v>0</v>
      </c>
      <c r="V29" s="75"/>
      <c r="W29" s="33"/>
      <c r="X29" s="73"/>
    </row>
    <row r="30" spans="1:24" s="50" customFormat="1" ht="18" customHeight="1">
      <c r="A30" s="40">
        <v>3</v>
      </c>
      <c r="B30" s="44" t="s">
        <v>81</v>
      </c>
      <c r="C30" s="42">
        <f t="shared" si="11"/>
        <v>2600048</v>
      </c>
      <c r="D30" s="36">
        <v>313069</v>
      </c>
      <c r="E30" s="36">
        <v>2286979</v>
      </c>
      <c r="F30" s="36">
        <v>5370</v>
      </c>
      <c r="G30" s="36">
        <v>11204</v>
      </c>
      <c r="H30" s="38">
        <f t="shared" si="12"/>
        <v>2594678</v>
      </c>
      <c r="I30" s="38">
        <f t="shared" si="13"/>
        <v>2594678</v>
      </c>
      <c r="J30" s="36">
        <v>2563926</v>
      </c>
      <c r="K30" s="36">
        <v>30752</v>
      </c>
      <c r="L30" s="36"/>
      <c r="M30" s="36">
        <v>0</v>
      </c>
      <c r="N30" s="36"/>
      <c r="O30" s="36"/>
      <c r="P30" s="36"/>
      <c r="Q30" s="36">
        <v>0</v>
      </c>
      <c r="R30" s="36">
        <v>0</v>
      </c>
      <c r="S30" s="36">
        <f t="shared" si="14"/>
        <v>0</v>
      </c>
      <c r="T30" s="43">
        <f t="shared" si="2"/>
        <v>100</v>
      </c>
      <c r="U30" s="77">
        <f t="shared" si="9"/>
        <v>0</v>
      </c>
      <c r="V30" s="75"/>
      <c r="W30" s="33"/>
      <c r="X30" s="73"/>
    </row>
    <row r="31" spans="1:24" s="50" customFormat="1" ht="18" customHeight="1">
      <c r="A31" s="40">
        <v>4</v>
      </c>
      <c r="B31" s="44" t="s">
        <v>82</v>
      </c>
      <c r="C31" s="42">
        <f t="shared" si="11"/>
        <v>14403389</v>
      </c>
      <c r="D31" s="36">
        <v>1312163</v>
      </c>
      <c r="E31" s="36">
        <v>13091226</v>
      </c>
      <c r="F31" s="36">
        <v>12820995</v>
      </c>
      <c r="G31" s="36"/>
      <c r="H31" s="38">
        <f t="shared" si="12"/>
        <v>1582394</v>
      </c>
      <c r="I31" s="38">
        <f t="shared" si="13"/>
        <v>1582394</v>
      </c>
      <c r="J31" s="36">
        <v>1454779</v>
      </c>
      <c r="K31" s="36">
        <v>123845</v>
      </c>
      <c r="L31" s="36">
        <v>3770</v>
      </c>
      <c r="M31" s="36">
        <v>0</v>
      </c>
      <c r="N31" s="36">
        <v>0</v>
      </c>
      <c r="O31" s="36"/>
      <c r="P31" s="36"/>
      <c r="Q31" s="36">
        <v>0</v>
      </c>
      <c r="R31" s="36">
        <v>0</v>
      </c>
      <c r="S31" s="36">
        <f t="shared" si="14"/>
        <v>0</v>
      </c>
      <c r="T31" s="43">
        <f t="shared" si="2"/>
        <v>100</v>
      </c>
      <c r="U31" s="77">
        <f t="shared" si="9"/>
        <v>0</v>
      </c>
      <c r="V31" s="75"/>
      <c r="W31" s="33"/>
      <c r="X31" s="73"/>
    </row>
    <row r="32" spans="1:24" s="50" customFormat="1" ht="18" customHeight="1">
      <c r="A32" s="40">
        <v>5</v>
      </c>
      <c r="B32" s="44" t="s">
        <v>83</v>
      </c>
      <c r="C32" s="42">
        <f t="shared" si="11"/>
        <v>117370009</v>
      </c>
      <c r="D32" s="36">
        <v>106136973</v>
      </c>
      <c r="E32" s="36">
        <v>11233036</v>
      </c>
      <c r="F32" s="36">
        <v>21400</v>
      </c>
      <c r="G32" s="36"/>
      <c r="H32" s="38">
        <f>+I32+R32</f>
        <v>117348609</v>
      </c>
      <c r="I32" s="38">
        <f>+J32+K32+M32+N32+O32+P32+Q32+L32</f>
        <v>25208011</v>
      </c>
      <c r="J32" s="36">
        <v>11136229</v>
      </c>
      <c r="K32" s="36">
        <v>1059632</v>
      </c>
      <c r="L32" s="36"/>
      <c r="M32" s="36">
        <v>11321215</v>
      </c>
      <c r="N32" s="36">
        <v>0</v>
      </c>
      <c r="O32" s="36">
        <v>0</v>
      </c>
      <c r="P32" s="36"/>
      <c r="Q32" s="36">
        <v>1690935</v>
      </c>
      <c r="R32" s="36">
        <v>92140598</v>
      </c>
      <c r="S32" s="36">
        <f t="shared" si="14"/>
        <v>105152748</v>
      </c>
      <c r="T32" s="43">
        <f>+(J32+K32+L32)/I32*100</f>
        <v>48.38089367701402</v>
      </c>
      <c r="U32" s="77">
        <f>+C32-F32-H32</f>
        <v>0</v>
      </c>
      <c r="V32" s="75"/>
      <c r="W32" s="33"/>
      <c r="X32" s="73"/>
    </row>
    <row r="33" spans="1:24" s="50" customFormat="1" ht="18" customHeight="1">
      <c r="A33" s="40">
        <v>6</v>
      </c>
      <c r="B33" s="44" t="s">
        <v>84</v>
      </c>
      <c r="C33" s="42">
        <f t="shared" si="11"/>
        <v>49714268</v>
      </c>
      <c r="D33" s="36">
        <v>40540949</v>
      </c>
      <c r="E33" s="36">
        <v>9173319</v>
      </c>
      <c r="F33" s="36">
        <v>656308</v>
      </c>
      <c r="G33" s="36"/>
      <c r="H33" s="38">
        <f>+I33+R33</f>
        <v>49057960</v>
      </c>
      <c r="I33" s="38">
        <f>+J33+K33+M33+N33+O33+P33+Q33+L33</f>
        <v>19535813</v>
      </c>
      <c r="J33" s="36">
        <v>8276041</v>
      </c>
      <c r="K33" s="36">
        <v>679319</v>
      </c>
      <c r="L33" s="36">
        <v>2830</v>
      </c>
      <c r="M33" s="36">
        <v>775918</v>
      </c>
      <c r="N33" s="36">
        <v>9790115</v>
      </c>
      <c r="O33" s="36">
        <v>0</v>
      </c>
      <c r="P33" s="36"/>
      <c r="Q33" s="36">
        <v>11590</v>
      </c>
      <c r="R33" s="36">
        <v>29522147</v>
      </c>
      <c r="S33" s="36">
        <f t="shared" si="14"/>
        <v>40099770</v>
      </c>
      <c r="T33" s="43">
        <f>+(J33+K33+L33)/I33*100</f>
        <v>45.855219846750174</v>
      </c>
      <c r="U33" s="77">
        <f t="shared" si="9"/>
        <v>0</v>
      </c>
      <c r="V33" s="75"/>
      <c r="W33" s="33"/>
      <c r="X33" s="73"/>
    </row>
    <row r="34" spans="1:24" s="50" customFormat="1" ht="18" customHeight="1">
      <c r="A34" s="40">
        <v>7</v>
      </c>
      <c r="B34" s="44" t="s">
        <v>85</v>
      </c>
      <c r="C34" s="42">
        <f t="shared" si="11"/>
        <v>34770787</v>
      </c>
      <c r="D34" s="36">
        <v>22364359</v>
      </c>
      <c r="E34" s="36">
        <v>12406428</v>
      </c>
      <c r="F34" s="36">
        <v>197300</v>
      </c>
      <c r="G34" s="36"/>
      <c r="H34" s="38">
        <f>+I34+R34</f>
        <v>34573487</v>
      </c>
      <c r="I34" s="38">
        <f>+J34+K34+M34+N34+O34+P34+Q34+L34</f>
        <v>4665347</v>
      </c>
      <c r="J34" s="36">
        <v>1835427</v>
      </c>
      <c r="K34" s="36">
        <v>28708</v>
      </c>
      <c r="L34" s="36">
        <v>3643</v>
      </c>
      <c r="M34" s="36">
        <v>2788705</v>
      </c>
      <c r="N34" s="36">
        <v>8864</v>
      </c>
      <c r="O34" s="36"/>
      <c r="P34" s="36"/>
      <c r="Q34" s="36"/>
      <c r="R34" s="36">
        <v>29908140</v>
      </c>
      <c r="S34" s="36">
        <f t="shared" si="14"/>
        <v>32705709</v>
      </c>
      <c r="T34" s="43">
        <f>+(J34+K34+L34)/I34*100</f>
        <v>40.035135650145634</v>
      </c>
      <c r="U34" s="77">
        <f t="shared" si="9"/>
        <v>0</v>
      </c>
      <c r="V34" s="75"/>
      <c r="W34" s="33"/>
      <c r="X34" s="73"/>
    </row>
    <row r="35" spans="1:24" s="50" customFormat="1" ht="18" customHeight="1">
      <c r="A35" s="40">
        <v>8</v>
      </c>
      <c r="B35" s="44" t="s">
        <v>86</v>
      </c>
      <c r="C35" s="42">
        <f t="shared" si="11"/>
        <v>10504913</v>
      </c>
      <c r="D35" s="36">
        <v>7760148</v>
      </c>
      <c r="E35" s="36">
        <v>2744765</v>
      </c>
      <c r="F35" s="36">
        <v>4256888</v>
      </c>
      <c r="G35" s="36"/>
      <c r="H35" s="38">
        <f>+I35+R35</f>
        <v>6248025</v>
      </c>
      <c r="I35" s="38">
        <f>+J35+K35+M35+N35+O35+P35+Q35+L35</f>
        <v>3685491</v>
      </c>
      <c r="J35" s="36">
        <v>1833130</v>
      </c>
      <c r="K35" s="36">
        <v>708380</v>
      </c>
      <c r="L35" s="36"/>
      <c r="M35" s="36">
        <v>1143981</v>
      </c>
      <c r="N35" s="36">
        <v>0</v>
      </c>
      <c r="O35" s="36"/>
      <c r="P35" s="36"/>
      <c r="Q35" s="36"/>
      <c r="R35" s="36">
        <v>2562534</v>
      </c>
      <c r="S35" s="36">
        <f t="shared" si="14"/>
        <v>3706515</v>
      </c>
      <c r="T35" s="43">
        <f>+(J35+K35+L35)/I35*100</f>
        <v>68.95987535989099</v>
      </c>
      <c r="U35" s="77">
        <f t="shared" si="9"/>
        <v>0</v>
      </c>
      <c r="V35" s="75"/>
      <c r="W35" s="33"/>
      <c r="X35" s="73"/>
    </row>
    <row r="36" spans="1:24" s="50" customFormat="1" ht="18" customHeight="1">
      <c r="A36" s="40">
        <v>9</v>
      </c>
      <c r="B36" s="44" t="s">
        <v>74</v>
      </c>
      <c r="C36" s="42">
        <f t="shared" si="11"/>
        <v>19259523</v>
      </c>
      <c r="D36" s="36">
        <v>12366350</v>
      </c>
      <c r="E36" s="36">
        <v>6893173</v>
      </c>
      <c r="F36" s="36">
        <v>506635</v>
      </c>
      <c r="G36" s="36"/>
      <c r="H36" s="38">
        <f>+I36+R36</f>
        <v>18752888</v>
      </c>
      <c r="I36" s="38">
        <f>+J36+K36+M36+N36+O36+P36+Q36+L36</f>
        <v>6025113</v>
      </c>
      <c r="J36" s="36">
        <v>3247300</v>
      </c>
      <c r="K36" s="36">
        <v>419684</v>
      </c>
      <c r="L36" s="36"/>
      <c r="M36" s="36">
        <v>293749</v>
      </c>
      <c r="N36" s="36">
        <v>2026780</v>
      </c>
      <c r="O36" s="36">
        <v>37600</v>
      </c>
      <c r="P36" s="36"/>
      <c r="Q36" s="36">
        <v>0</v>
      </c>
      <c r="R36" s="36">
        <v>12727775</v>
      </c>
      <c r="S36" s="36">
        <f t="shared" si="14"/>
        <v>15085904</v>
      </c>
      <c r="T36" s="43">
        <f>+(J36+K36+L36)/I36*100</f>
        <v>60.86166350738982</v>
      </c>
      <c r="U36" s="77">
        <f t="shared" si="9"/>
        <v>0</v>
      </c>
      <c r="V36" s="75"/>
      <c r="W36" s="33"/>
      <c r="X36" s="73"/>
    </row>
    <row r="37" spans="1:24" s="50" customFormat="1" ht="18" customHeight="1">
      <c r="A37" s="65">
        <v>10</v>
      </c>
      <c r="B37" s="45" t="s">
        <v>91</v>
      </c>
      <c r="C37" s="46">
        <f t="shared" si="11"/>
        <v>2296185</v>
      </c>
      <c r="D37" s="47">
        <v>797459</v>
      </c>
      <c r="E37" s="47">
        <v>1498726</v>
      </c>
      <c r="F37" s="47">
        <v>126725</v>
      </c>
      <c r="G37" s="47"/>
      <c r="H37" s="143">
        <f t="shared" si="12"/>
        <v>2169460</v>
      </c>
      <c r="I37" s="143">
        <f t="shared" si="13"/>
        <v>938050</v>
      </c>
      <c r="J37" s="47">
        <v>281095</v>
      </c>
      <c r="K37" s="47">
        <v>28250</v>
      </c>
      <c r="L37" s="47">
        <v>0</v>
      </c>
      <c r="M37" s="47">
        <v>628705</v>
      </c>
      <c r="N37" s="47">
        <v>0</v>
      </c>
      <c r="O37" s="47">
        <v>0</v>
      </c>
      <c r="P37" s="47">
        <v>0</v>
      </c>
      <c r="Q37" s="47">
        <v>0</v>
      </c>
      <c r="R37" s="47">
        <v>1231410</v>
      </c>
      <c r="S37" s="47">
        <f t="shared" si="14"/>
        <v>1860115</v>
      </c>
      <c r="T37" s="144">
        <f t="shared" si="2"/>
        <v>32.9774532274399</v>
      </c>
      <c r="U37" s="77">
        <f t="shared" si="9"/>
        <v>0</v>
      </c>
      <c r="V37" s="75"/>
      <c r="W37" s="33"/>
      <c r="X37" s="73"/>
    </row>
    <row r="38" spans="1:24" s="50" customFormat="1" ht="15.75" customHeight="1">
      <c r="A38" s="28" t="s">
        <v>1</v>
      </c>
      <c r="B38" s="29" t="s">
        <v>87</v>
      </c>
      <c r="C38" s="30">
        <f t="shared" si="11"/>
        <v>48541045</v>
      </c>
      <c r="D38" s="31">
        <f>+SUM(D39:D45)</f>
        <v>28834078</v>
      </c>
      <c r="E38" s="31">
        <f aca="true" t="shared" si="15" ref="E38:S38">+SUM(E39:E45)</f>
        <v>19706967</v>
      </c>
      <c r="F38" s="31">
        <f t="shared" si="15"/>
        <v>1164198</v>
      </c>
      <c r="G38" s="31">
        <f t="shared" si="15"/>
        <v>0</v>
      </c>
      <c r="H38" s="31">
        <f t="shared" si="15"/>
        <v>47376847</v>
      </c>
      <c r="I38" s="31">
        <f t="shared" si="15"/>
        <v>29797313</v>
      </c>
      <c r="J38" s="31">
        <f t="shared" si="15"/>
        <v>6533576</v>
      </c>
      <c r="K38" s="31">
        <f t="shared" si="15"/>
        <v>6763508</v>
      </c>
      <c r="L38" s="31">
        <f t="shared" si="15"/>
        <v>0</v>
      </c>
      <c r="M38" s="31">
        <f t="shared" si="15"/>
        <v>13574971</v>
      </c>
      <c r="N38" s="31">
        <f t="shared" si="15"/>
        <v>2727652</v>
      </c>
      <c r="O38" s="31">
        <f t="shared" si="15"/>
        <v>0</v>
      </c>
      <c r="P38" s="31">
        <f t="shared" si="15"/>
        <v>0</v>
      </c>
      <c r="Q38" s="31">
        <f>+SUM(Q39:Q45)</f>
        <v>197606</v>
      </c>
      <c r="R38" s="31">
        <f t="shared" si="15"/>
        <v>17579534</v>
      </c>
      <c r="S38" s="31">
        <f t="shared" si="15"/>
        <v>34079763</v>
      </c>
      <c r="T38" s="32">
        <f t="shared" si="2"/>
        <v>44.625110995746496</v>
      </c>
      <c r="U38" s="77">
        <f t="shared" si="9"/>
        <v>0</v>
      </c>
      <c r="V38" s="75"/>
      <c r="W38" s="33"/>
      <c r="X38" s="73"/>
    </row>
    <row r="39" spans="1:24" s="50" customFormat="1" ht="15.75" customHeight="1">
      <c r="A39" s="146">
        <v>1</v>
      </c>
      <c r="B39" s="44" t="s">
        <v>88</v>
      </c>
      <c r="C39" s="35">
        <f t="shared" si="11"/>
        <v>1458327</v>
      </c>
      <c r="D39" s="37">
        <v>212712</v>
      </c>
      <c r="E39" s="36">
        <v>1245615</v>
      </c>
      <c r="F39" s="36">
        <v>221800</v>
      </c>
      <c r="G39" s="36">
        <v>0</v>
      </c>
      <c r="H39" s="57">
        <f t="shared" si="12"/>
        <v>1236527</v>
      </c>
      <c r="I39" s="57">
        <f t="shared" si="13"/>
        <v>1236527</v>
      </c>
      <c r="J39" s="36">
        <v>709527</v>
      </c>
      <c r="K39" s="36">
        <v>27000</v>
      </c>
      <c r="L39" s="36">
        <v>0</v>
      </c>
      <c r="M39" s="36">
        <v>500000</v>
      </c>
      <c r="N39" s="36">
        <v>0</v>
      </c>
      <c r="O39" s="36">
        <v>0</v>
      </c>
      <c r="P39" s="36">
        <v>0</v>
      </c>
      <c r="Q39" s="36">
        <v>0</v>
      </c>
      <c r="R39" s="36">
        <v>0</v>
      </c>
      <c r="S39" s="39">
        <f aca="true" t="shared" si="16" ref="S39:S45">+R39+Q39+P39+O39+N39+M39</f>
        <v>500000</v>
      </c>
      <c r="T39" s="54">
        <f t="shared" si="2"/>
        <v>59.56416641124699</v>
      </c>
      <c r="U39" s="77">
        <f t="shared" si="9"/>
        <v>0</v>
      </c>
      <c r="V39" s="75"/>
      <c r="W39" s="33"/>
      <c r="X39" s="73"/>
    </row>
    <row r="40" spans="1:24" s="50" customFormat="1" ht="15.75" customHeight="1">
      <c r="A40" s="52">
        <v>2</v>
      </c>
      <c r="B40" s="41" t="s">
        <v>89</v>
      </c>
      <c r="C40" s="42">
        <f t="shared" si="11"/>
        <v>4614158</v>
      </c>
      <c r="D40" s="36">
        <v>3366023</v>
      </c>
      <c r="E40" s="36">
        <v>1248135</v>
      </c>
      <c r="F40" s="36">
        <v>2400</v>
      </c>
      <c r="G40" s="36">
        <v>0</v>
      </c>
      <c r="H40" s="38">
        <f aca="true" t="shared" si="17" ref="H40:H45">+I40+R40</f>
        <v>4611758</v>
      </c>
      <c r="I40" s="38">
        <f aca="true" t="shared" si="18" ref="I40:I45">+J40+K40+M40+N40+O40+P40+Q40+L40</f>
        <v>3420822</v>
      </c>
      <c r="J40" s="36">
        <v>407916</v>
      </c>
      <c r="K40" s="36">
        <v>424415</v>
      </c>
      <c r="L40" s="36">
        <v>0</v>
      </c>
      <c r="M40" s="36">
        <v>2390885</v>
      </c>
      <c r="N40" s="36">
        <v>0</v>
      </c>
      <c r="O40" s="36">
        <v>0</v>
      </c>
      <c r="P40" s="36">
        <v>0</v>
      </c>
      <c r="Q40" s="36">
        <v>197606</v>
      </c>
      <c r="R40" s="36">
        <v>1190936</v>
      </c>
      <c r="S40" s="36">
        <f t="shared" si="16"/>
        <v>3779427</v>
      </c>
      <c r="T40" s="43">
        <f t="shared" si="2"/>
        <v>24.3313156896208</v>
      </c>
      <c r="U40" s="77">
        <f t="shared" si="9"/>
        <v>0</v>
      </c>
      <c r="V40" s="75"/>
      <c r="W40" s="33"/>
      <c r="X40" s="73"/>
    </row>
    <row r="41" spans="1:24" s="50" customFormat="1" ht="15.75" customHeight="1">
      <c r="A41" s="52">
        <v>3</v>
      </c>
      <c r="B41" s="44" t="s">
        <v>90</v>
      </c>
      <c r="C41" s="42">
        <f t="shared" si="11"/>
        <v>8161992</v>
      </c>
      <c r="D41" s="36">
        <v>4269318</v>
      </c>
      <c r="E41" s="36">
        <v>3892674</v>
      </c>
      <c r="F41" s="36">
        <v>42337</v>
      </c>
      <c r="G41" s="36">
        <v>0</v>
      </c>
      <c r="H41" s="38">
        <f t="shared" si="17"/>
        <v>8119655</v>
      </c>
      <c r="I41" s="38">
        <f t="shared" si="18"/>
        <v>4504776</v>
      </c>
      <c r="J41" s="36">
        <v>1292941</v>
      </c>
      <c r="K41" s="36">
        <v>298538</v>
      </c>
      <c r="L41" s="36">
        <v>0</v>
      </c>
      <c r="M41" s="36">
        <v>2524151</v>
      </c>
      <c r="N41" s="36">
        <v>389146</v>
      </c>
      <c r="O41" s="36">
        <v>0</v>
      </c>
      <c r="P41" s="36">
        <v>0</v>
      </c>
      <c r="Q41" s="36">
        <v>0</v>
      </c>
      <c r="R41" s="36">
        <v>3614879</v>
      </c>
      <c r="S41" s="36">
        <f t="shared" si="16"/>
        <v>6528176</v>
      </c>
      <c r="T41" s="43">
        <f t="shared" si="2"/>
        <v>35.32870446832428</v>
      </c>
      <c r="U41" s="77">
        <f t="shared" si="9"/>
        <v>0</v>
      </c>
      <c r="V41" s="75"/>
      <c r="W41" s="33"/>
      <c r="X41" s="73"/>
    </row>
    <row r="42" spans="1:24" s="50" customFormat="1" ht="15.75" customHeight="1">
      <c r="A42" s="52">
        <v>4</v>
      </c>
      <c r="B42" s="44" t="s">
        <v>92</v>
      </c>
      <c r="C42" s="42">
        <f t="shared" si="11"/>
        <v>6512746</v>
      </c>
      <c r="D42" s="36">
        <v>2338532</v>
      </c>
      <c r="E42" s="36">
        <v>4174214</v>
      </c>
      <c r="F42" s="36">
        <v>51770</v>
      </c>
      <c r="G42" s="36">
        <v>0</v>
      </c>
      <c r="H42" s="38">
        <f t="shared" si="17"/>
        <v>6460976</v>
      </c>
      <c r="I42" s="38">
        <f t="shared" si="18"/>
        <v>4557645</v>
      </c>
      <c r="J42" s="36">
        <v>1028871</v>
      </c>
      <c r="K42" s="36">
        <v>59840</v>
      </c>
      <c r="L42" s="36">
        <v>0</v>
      </c>
      <c r="M42" s="36">
        <v>3468934</v>
      </c>
      <c r="N42" s="36">
        <v>0</v>
      </c>
      <c r="O42" s="36">
        <v>0</v>
      </c>
      <c r="P42" s="36">
        <v>0</v>
      </c>
      <c r="Q42" s="36">
        <v>0</v>
      </c>
      <c r="R42" s="36">
        <v>1903331</v>
      </c>
      <c r="S42" s="36">
        <f t="shared" si="16"/>
        <v>5372265</v>
      </c>
      <c r="T42" s="43">
        <f t="shared" si="2"/>
        <v>23.88757790481707</v>
      </c>
      <c r="U42" s="77">
        <f t="shared" si="9"/>
        <v>0</v>
      </c>
      <c r="V42" s="75"/>
      <c r="W42" s="33"/>
      <c r="X42" s="73"/>
    </row>
    <row r="43" spans="1:24" s="50" customFormat="1" ht="15.75" customHeight="1">
      <c r="A43" s="52">
        <v>5</v>
      </c>
      <c r="B43" s="44" t="s">
        <v>91</v>
      </c>
      <c r="C43" s="42">
        <f t="shared" si="11"/>
        <v>2375298</v>
      </c>
      <c r="D43" s="36">
        <v>1852702</v>
      </c>
      <c r="E43" s="36">
        <v>522596</v>
      </c>
      <c r="F43" s="36">
        <v>0</v>
      </c>
      <c r="G43" s="36">
        <v>0</v>
      </c>
      <c r="H43" s="38">
        <f t="shared" si="17"/>
        <v>2375298</v>
      </c>
      <c r="I43" s="38">
        <f t="shared" si="18"/>
        <v>2375298</v>
      </c>
      <c r="J43" s="36">
        <v>523931</v>
      </c>
      <c r="K43" s="36">
        <v>1851367</v>
      </c>
      <c r="L43" s="36">
        <v>0</v>
      </c>
      <c r="M43" s="36">
        <v>0</v>
      </c>
      <c r="N43" s="36">
        <v>0</v>
      </c>
      <c r="O43" s="36">
        <v>0</v>
      </c>
      <c r="P43" s="36">
        <v>0</v>
      </c>
      <c r="Q43" s="36">
        <v>0</v>
      </c>
      <c r="R43" s="36">
        <v>0</v>
      </c>
      <c r="S43" s="36">
        <f>+R43+Q43+P43+O43+N43+M43</f>
        <v>0</v>
      </c>
      <c r="T43" s="43">
        <f>+(J43+K43+L43)/I43*100</f>
        <v>100</v>
      </c>
      <c r="U43" s="77">
        <f t="shared" si="9"/>
        <v>0</v>
      </c>
      <c r="V43" s="75"/>
      <c r="W43" s="33"/>
      <c r="X43" s="73"/>
    </row>
    <row r="44" spans="1:24" s="50" customFormat="1" ht="15.75" customHeight="1">
      <c r="A44" s="147">
        <v>6</v>
      </c>
      <c r="B44" s="53" t="s">
        <v>94</v>
      </c>
      <c r="C44" s="42">
        <f t="shared" si="11"/>
        <v>7414176</v>
      </c>
      <c r="D44" s="48">
        <v>2351622</v>
      </c>
      <c r="E44" s="36">
        <v>5062554</v>
      </c>
      <c r="F44" s="36">
        <v>837291</v>
      </c>
      <c r="G44" s="36">
        <v>0</v>
      </c>
      <c r="H44" s="38">
        <f t="shared" si="17"/>
        <v>6576885</v>
      </c>
      <c r="I44" s="38">
        <f t="shared" si="18"/>
        <v>6046872</v>
      </c>
      <c r="J44" s="36">
        <v>1272135</v>
      </c>
      <c r="K44" s="36">
        <v>3507535</v>
      </c>
      <c r="L44" s="36">
        <v>0</v>
      </c>
      <c r="M44" s="36">
        <v>1267202</v>
      </c>
      <c r="N44" s="36">
        <v>0</v>
      </c>
      <c r="O44" s="36">
        <v>0</v>
      </c>
      <c r="P44" s="36">
        <v>0</v>
      </c>
      <c r="Q44" s="36">
        <v>0</v>
      </c>
      <c r="R44" s="36">
        <v>530013</v>
      </c>
      <c r="S44" s="36">
        <f>+R44+Q44+P44+O44+N44+M44</f>
        <v>1797215</v>
      </c>
      <c r="T44" s="43">
        <f>+(J44+K44+L44)/I44*100</f>
        <v>79.04367745836194</v>
      </c>
      <c r="U44" s="77">
        <f t="shared" si="9"/>
        <v>0</v>
      </c>
      <c r="V44" s="75"/>
      <c r="W44" s="33"/>
      <c r="X44" s="73"/>
    </row>
    <row r="45" spans="1:24" s="50" customFormat="1" ht="15.75" customHeight="1">
      <c r="A45" s="147">
        <v>7</v>
      </c>
      <c r="B45" s="53" t="s">
        <v>78</v>
      </c>
      <c r="C45" s="42">
        <f t="shared" si="11"/>
        <v>18004348</v>
      </c>
      <c r="D45" s="47">
        <v>14443169</v>
      </c>
      <c r="E45" s="36">
        <v>3561179</v>
      </c>
      <c r="F45" s="36">
        <v>8600</v>
      </c>
      <c r="G45" s="36">
        <v>0</v>
      </c>
      <c r="H45" s="38">
        <f t="shared" si="17"/>
        <v>17995748</v>
      </c>
      <c r="I45" s="38">
        <f t="shared" si="18"/>
        <v>7655373</v>
      </c>
      <c r="J45" s="36">
        <v>1298255</v>
      </c>
      <c r="K45" s="36">
        <v>594813</v>
      </c>
      <c r="L45" s="36">
        <v>0</v>
      </c>
      <c r="M45" s="36">
        <v>3423799</v>
      </c>
      <c r="N45" s="36">
        <v>2338506</v>
      </c>
      <c r="O45" s="36">
        <v>0</v>
      </c>
      <c r="P45" s="36">
        <v>0</v>
      </c>
      <c r="Q45" s="36">
        <v>0</v>
      </c>
      <c r="R45" s="36">
        <v>10340375</v>
      </c>
      <c r="S45" s="48">
        <f t="shared" si="16"/>
        <v>16102680</v>
      </c>
      <c r="T45" s="56">
        <f t="shared" si="2"/>
        <v>24.72861871002236</v>
      </c>
      <c r="U45" s="77">
        <f t="shared" si="9"/>
        <v>0</v>
      </c>
      <c r="V45" s="75"/>
      <c r="W45" s="33"/>
      <c r="X45" s="73"/>
    </row>
    <row r="46" spans="1:24" s="50" customFormat="1" ht="15.75" customHeight="1">
      <c r="A46" s="28" t="s">
        <v>6</v>
      </c>
      <c r="B46" s="58" t="s">
        <v>95</v>
      </c>
      <c r="C46" s="49">
        <f>D46+E46</f>
        <v>34086271</v>
      </c>
      <c r="D46" s="31">
        <f>+SUM(D47:D52)</f>
        <v>22640626</v>
      </c>
      <c r="E46" s="31">
        <f aca="true" t="shared" si="19" ref="E46:S46">+SUM(E47:E52)</f>
        <v>11445645</v>
      </c>
      <c r="F46" s="31">
        <f t="shared" si="19"/>
        <v>626954</v>
      </c>
      <c r="G46" s="31">
        <f t="shared" si="19"/>
        <v>0</v>
      </c>
      <c r="H46" s="31">
        <f t="shared" si="19"/>
        <v>33459317</v>
      </c>
      <c r="I46" s="31">
        <f t="shared" si="19"/>
        <v>20654580</v>
      </c>
      <c r="J46" s="31">
        <f t="shared" si="19"/>
        <v>7567727</v>
      </c>
      <c r="K46" s="31">
        <f t="shared" si="19"/>
        <v>2172326</v>
      </c>
      <c r="L46" s="31">
        <f t="shared" si="19"/>
        <v>0</v>
      </c>
      <c r="M46" s="31">
        <f t="shared" si="19"/>
        <v>9350118</v>
      </c>
      <c r="N46" s="31">
        <f t="shared" si="19"/>
        <v>1479373</v>
      </c>
      <c r="O46" s="31">
        <f t="shared" si="19"/>
        <v>76336</v>
      </c>
      <c r="P46" s="31">
        <f t="shared" si="19"/>
        <v>0</v>
      </c>
      <c r="Q46" s="31">
        <f t="shared" si="19"/>
        <v>8700</v>
      </c>
      <c r="R46" s="31">
        <f t="shared" si="19"/>
        <v>12804737</v>
      </c>
      <c r="S46" s="31">
        <f t="shared" si="19"/>
        <v>23719264</v>
      </c>
      <c r="T46" s="32">
        <f t="shared" si="2"/>
        <v>47.15686787143578</v>
      </c>
      <c r="U46" s="77">
        <f t="shared" si="9"/>
        <v>0</v>
      </c>
      <c r="V46" s="75"/>
      <c r="W46" s="33"/>
      <c r="X46" s="73"/>
    </row>
    <row r="47" spans="1:24" s="50" customFormat="1" ht="15.75" customHeight="1">
      <c r="A47" s="146">
        <v>1</v>
      </c>
      <c r="B47" s="44" t="s">
        <v>150</v>
      </c>
      <c r="C47" s="51">
        <f aca="true" t="shared" si="20" ref="C47:C52">+D47+E47</f>
        <v>3664401</v>
      </c>
      <c r="D47" s="36">
        <v>1124687</v>
      </c>
      <c r="E47" s="36">
        <v>2539714</v>
      </c>
      <c r="F47" s="36">
        <v>595279</v>
      </c>
      <c r="G47" s="37"/>
      <c r="H47" s="57">
        <f aca="true" t="shared" si="21" ref="H47:H52">+I47+R47</f>
        <v>3069122</v>
      </c>
      <c r="I47" s="57">
        <f aca="true" t="shared" si="22" ref="I47:I52">+J47+K47+L47+M47+N47+O47+P47+Q47</f>
        <v>2113921</v>
      </c>
      <c r="J47" s="36">
        <v>705476</v>
      </c>
      <c r="K47" s="36">
        <v>719568</v>
      </c>
      <c r="L47" s="36"/>
      <c r="M47" s="36">
        <v>688877</v>
      </c>
      <c r="N47" s="36"/>
      <c r="O47" s="36"/>
      <c r="P47" s="36"/>
      <c r="Q47" s="36"/>
      <c r="R47" s="36">
        <v>955201</v>
      </c>
      <c r="S47" s="39">
        <f aca="true" t="shared" si="23" ref="S47:S52">+R47+Q47+P47+O47+N47+M47</f>
        <v>1644078</v>
      </c>
      <c r="T47" s="54">
        <f t="shared" si="2"/>
        <v>67.41235836154709</v>
      </c>
      <c r="U47" s="77">
        <f t="shared" si="9"/>
        <v>0</v>
      </c>
      <c r="V47" s="75"/>
      <c r="W47" s="33"/>
      <c r="X47" s="73"/>
    </row>
    <row r="48" spans="1:24" s="50" customFormat="1" ht="15.75" customHeight="1">
      <c r="A48" s="146">
        <v>2</v>
      </c>
      <c r="B48" s="44" t="s">
        <v>120</v>
      </c>
      <c r="C48" s="42">
        <f t="shared" si="20"/>
        <v>1974545</v>
      </c>
      <c r="D48" s="36">
        <v>1416084</v>
      </c>
      <c r="E48" s="36">
        <v>558461</v>
      </c>
      <c r="F48" s="36">
        <v>400</v>
      </c>
      <c r="G48" s="39"/>
      <c r="H48" s="57">
        <f t="shared" si="21"/>
        <v>1974145</v>
      </c>
      <c r="I48" s="57">
        <f t="shared" si="22"/>
        <v>984560</v>
      </c>
      <c r="J48" s="36">
        <v>207348</v>
      </c>
      <c r="K48" s="36">
        <v>306000</v>
      </c>
      <c r="L48" s="36"/>
      <c r="M48" s="36">
        <v>424337</v>
      </c>
      <c r="N48" s="36">
        <v>46875</v>
      </c>
      <c r="O48" s="36"/>
      <c r="P48" s="36"/>
      <c r="Q48" s="36"/>
      <c r="R48" s="36">
        <v>989585</v>
      </c>
      <c r="S48" s="39">
        <f t="shared" si="23"/>
        <v>1460797</v>
      </c>
      <c r="T48" s="54">
        <f t="shared" si="2"/>
        <v>52.139839115950274</v>
      </c>
      <c r="U48" s="77">
        <f t="shared" si="9"/>
        <v>0</v>
      </c>
      <c r="V48" s="75"/>
      <c r="W48" s="33"/>
      <c r="X48" s="73"/>
    </row>
    <row r="49" spans="1:24" s="50" customFormat="1" ht="15.75" customHeight="1">
      <c r="A49" s="52">
        <v>3</v>
      </c>
      <c r="B49" s="44" t="s">
        <v>151</v>
      </c>
      <c r="C49" s="42">
        <f t="shared" si="20"/>
        <v>5517472</v>
      </c>
      <c r="D49" s="36">
        <v>4090537</v>
      </c>
      <c r="E49" s="36">
        <v>1426935</v>
      </c>
      <c r="F49" s="36">
        <v>4200</v>
      </c>
      <c r="G49" s="36"/>
      <c r="H49" s="57">
        <f t="shared" si="21"/>
        <v>5513272</v>
      </c>
      <c r="I49" s="57">
        <f t="shared" si="22"/>
        <v>3227632</v>
      </c>
      <c r="J49" s="36">
        <v>864044</v>
      </c>
      <c r="K49" s="36">
        <v>25970</v>
      </c>
      <c r="L49" s="36"/>
      <c r="M49" s="36">
        <v>1532969</v>
      </c>
      <c r="N49" s="36">
        <v>804649</v>
      </c>
      <c r="O49" s="36"/>
      <c r="P49" s="36"/>
      <c r="Q49" s="36"/>
      <c r="R49" s="36">
        <v>2285640</v>
      </c>
      <c r="S49" s="39">
        <f t="shared" si="23"/>
        <v>4623258</v>
      </c>
      <c r="T49" s="54">
        <f t="shared" si="2"/>
        <v>27.574828852855592</v>
      </c>
      <c r="U49" s="77">
        <f t="shared" si="9"/>
        <v>0</v>
      </c>
      <c r="V49" s="75"/>
      <c r="W49" s="33"/>
      <c r="X49" s="73"/>
    </row>
    <row r="50" spans="1:24" s="50" customFormat="1" ht="15.75" customHeight="1">
      <c r="A50" s="52">
        <v>4</v>
      </c>
      <c r="B50" s="44" t="s">
        <v>97</v>
      </c>
      <c r="C50" s="42">
        <f t="shared" si="20"/>
        <v>8665370</v>
      </c>
      <c r="D50" s="36">
        <v>7277423</v>
      </c>
      <c r="E50" s="36">
        <v>1387947</v>
      </c>
      <c r="F50" s="36"/>
      <c r="G50" s="36"/>
      <c r="H50" s="57">
        <f t="shared" si="21"/>
        <v>8665370</v>
      </c>
      <c r="I50" s="57">
        <f t="shared" si="22"/>
        <v>4028562</v>
      </c>
      <c r="J50" s="36">
        <v>2027467</v>
      </c>
      <c r="K50" s="36">
        <v>413687</v>
      </c>
      <c r="L50" s="36"/>
      <c r="M50" s="36">
        <v>895105</v>
      </c>
      <c r="N50" s="36">
        <v>607267</v>
      </c>
      <c r="O50" s="36">
        <v>76336</v>
      </c>
      <c r="P50" s="36"/>
      <c r="Q50" s="36">
        <v>8700</v>
      </c>
      <c r="R50" s="36">
        <v>4636808</v>
      </c>
      <c r="S50" s="39">
        <f t="shared" si="23"/>
        <v>6224216</v>
      </c>
      <c r="T50" s="54">
        <f t="shared" si="2"/>
        <v>60.596163097402986</v>
      </c>
      <c r="U50" s="77">
        <f t="shared" si="9"/>
        <v>0</v>
      </c>
      <c r="V50" s="75"/>
      <c r="W50" s="33"/>
      <c r="X50" s="73"/>
    </row>
    <row r="51" spans="1:24" s="50" customFormat="1" ht="15.75" customHeight="1">
      <c r="A51" s="52">
        <v>5</v>
      </c>
      <c r="B51" s="44" t="s">
        <v>98</v>
      </c>
      <c r="C51" s="42">
        <f t="shared" si="20"/>
        <v>2914896</v>
      </c>
      <c r="D51" s="36">
        <v>1504721</v>
      </c>
      <c r="E51" s="36">
        <v>1410175</v>
      </c>
      <c r="F51" s="36">
        <v>27075</v>
      </c>
      <c r="G51" s="36"/>
      <c r="H51" s="57">
        <f t="shared" si="21"/>
        <v>2887821</v>
      </c>
      <c r="I51" s="57">
        <f t="shared" si="22"/>
        <v>1836466</v>
      </c>
      <c r="J51" s="36">
        <v>832765</v>
      </c>
      <c r="K51" s="36">
        <v>197521</v>
      </c>
      <c r="L51" s="36"/>
      <c r="M51" s="36">
        <v>785608</v>
      </c>
      <c r="N51" s="36">
        <v>20572</v>
      </c>
      <c r="O51" s="36"/>
      <c r="P51" s="36"/>
      <c r="Q51" s="36"/>
      <c r="R51" s="36">
        <v>1051355</v>
      </c>
      <c r="S51" s="36">
        <f t="shared" si="23"/>
        <v>1857535</v>
      </c>
      <c r="T51" s="54">
        <f t="shared" si="2"/>
        <v>56.10155592316983</v>
      </c>
      <c r="U51" s="77">
        <f t="shared" si="9"/>
        <v>0</v>
      </c>
      <c r="V51" s="75"/>
      <c r="W51" s="33"/>
      <c r="X51" s="73"/>
    </row>
    <row r="52" spans="1:24" s="50" customFormat="1" ht="15.75" customHeight="1">
      <c r="A52" s="52">
        <v>6</v>
      </c>
      <c r="B52" s="44" t="s">
        <v>147</v>
      </c>
      <c r="C52" s="42">
        <f t="shared" si="20"/>
        <v>11349587</v>
      </c>
      <c r="D52" s="36">
        <v>7227174</v>
      </c>
      <c r="E52" s="36">
        <v>4122413</v>
      </c>
      <c r="F52" s="36"/>
      <c r="G52" s="47"/>
      <c r="H52" s="57">
        <f t="shared" si="21"/>
        <v>11349587</v>
      </c>
      <c r="I52" s="57">
        <f t="shared" si="22"/>
        <v>8463439</v>
      </c>
      <c r="J52" s="36">
        <v>2930627</v>
      </c>
      <c r="K52" s="36">
        <v>509580</v>
      </c>
      <c r="L52" s="36"/>
      <c r="M52" s="36">
        <v>5023222</v>
      </c>
      <c r="N52" s="36">
        <v>10</v>
      </c>
      <c r="O52" s="36"/>
      <c r="P52" s="36"/>
      <c r="Q52" s="36"/>
      <c r="R52" s="36">
        <v>2886148</v>
      </c>
      <c r="S52" s="48">
        <f t="shared" si="23"/>
        <v>7909380</v>
      </c>
      <c r="T52" s="54">
        <f t="shared" si="2"/>
        <v>40.64786193886433</v>
      </c>
      <c r="U52" s="77">
        <f t="shared" si="9"/>
        <v>0</v>
      </c>
      <c r="V52" s="75"/>
      <c r="W52" s="33"/>
      <c r="X52" s="73"/>
    </row>
    <row r="53" spans="1:24" s="61" customFormat="1" ht="17.25" customHeight="1">
      <c r="A53" s="28" t="s">
        <v>50</v>
      </c>
      <c r="B53" s="58" t="s">
        <v>99</v>
      </c>
      <c r="C53" s="30">
        <f t="shared" si="11"/>
        <v>7476952</v>
      </c>
      <c r="D53" s="31">
        <f>+SUM(D54:D55)</f>
        <v>5396209</v>
      </c>
      <c r="E53" s="31">
        <f aca="true" t="shared" si="24" ref="E53:S53">+SUM(E54:E55)</f>
        <v>2080743</v>
      </c>
      <c r="F53" s="31">
        <f t="shared" si="24"/>
        <v>600</v>
      </c>
      <c r="G53" s="31">
        <f t="shared" si="24"/>
        <v>0</v>
      </c>
      <c r="H53" s="31">
        <f t="shared" si="24"/>
        <v>7476352</v>
      </c>
      <c r="I53" s="31">
        <f t="shared" si="24"/>
        <v>5029202</v>
      </c>
      <c r="J53" s="31">
        <f t="shared" si="24"/>
        <v>937783</v>
      </c>
      <c r="K53" s="31">
        <f t="shared" si="24"/>
        <v>554673</v>
      </c>
      <c r="L53" s="31">
        <f t="shared" si="24"/>
        <v>0</v>
      </c>
      <c r="M53" s="31">
        <f t="shared" si="24"/>
        <v>3536746</v>
      </c>
      <c r="N53" s="31">
        <f t="shared" si="24"/>
        <v>0</v>
      </c>
      <c r="O53" s="31">
        <f t="shared" si="24"/>
        <v>0</v>
      </c>
      <c r="P53" s="31">
        <f t="shared" si="24"/>
        <v>0</v>
      </c>
      <c r="Q53" s="31">
        <f t="shared" si="24"/>
        <v>0</v>
      </c>
      <c r="R53" s="31">
        <f t="shared" si="24"/>
        <v>2447150</v>
      </c>
      <c r="S53" s="31">
        <f t="shared" si="24"/>
        <v>5983896</v>
      </c>
      <c r="T53" s="32">
        <f t="shared" si="2"/>
        <v>29.675801449216</v>
      </c>
      <c r="U53" s="77">
        <f t="shared" si="9"/>
        <v>0</v>
      </c>
      <c r="V53" s="75"/>
      <c r="W53" s="33"/>
      <c r="X53" s="74"/>
    </row>
    <row r="54" spans="1:24" s="61" customFormat="1" ht="15.75" customHeight="1">
      <c r="A54" s="52">
        <v>1</v>
      </c>
      <c r="B54" s="41" t="s">
        <v>136</v>
      </c>
      <c r="C54" s="35">
        <f t="shared" si="11"/>
        <v>1544069</v>
      </c>
      <c r="D54" s="37">
        <v>1237625</v>
      </c>
      <c r="E54" s="37">
        <v>306444</v>
      </c>
      <c r="F54" s="37">
        <v>600</v>
      </c>
      <c r="G54" s="37"/>
      <c r="H54" s="57">
        <f aca="true" t="shared" si="25" ref="H54:H61">+I54+R54</f>
        <v>1543469</v>
      </c>
      <c r="I54" s="57">
        <f aca="true" t="shared" si="26" ref="I54:I61">+J54+K54+M54+N54+O54+P54+Q54+L54</f>
        <v>1402983</v>
      </c>
      <c r="J54" s="37">
        <v>400721</v>
      </c>
      <c r="K54" s="37">
        <v>26444</v>
      </c>
      <c r="L54" s="37"/>
      <c r="M54" s="37">
        <v>975818</v>
      </c>
      <c r="N54" s="37"/>
      <c r="O54" s="37"/>
      <c r="P54" s="37"/>
      <c r="Q54" s="37"/>
      <c r="R54" s="37">
        <v>140486</v>
      </c>
      <c r="S54" s="39">
        <f>+R54+Q54+P54+O54+N54+M54</f>
        <v>1116304</v>
      </c>
      <c r="T54" s="54">
        <f t="shared" si="2"/>
        <v>30.44691204383802</v>
      </c>
      <c r="U54" s="77">
        <f t="shared" si="9"/>
        <v>0</v>
      </c>
      <c r="V54" s="75"/>
      <c r="W54" s="33"/>
      <c r="X54" s="74"/>
    </row>
    <row r="55" spans="1:24" s="61" customFormat="1" ht="15.75" customHeight="1">
      <c r="A55" s="59">
        <v>2</v>
      </c>
      <c r="B55" s="60" t="s">
        <v>100</v>
      </c>
      <c r="C55" s="46">
        <f t="shared" si="11"/>
        <v>5932883</v>
      </c>
      <c r="D55" s="47">
        <v>4158584</v>
      </c>
      <c r="E55" s="47">
        <v>1774299</v>
      </c>
      <c r="F55" s="47"/>
      <c r="G55" s="47"/>
      <c r="H55" s="57">
        <f t="shared" si="25"/>
        <v>5932883</v>
      </c>
      <c r="I55" s="57">
        <f t="shared" si="26"/>
        <v>3626219</v>
      </c>
      <c r="J55" s="47">
        <v>537062</v>
      </c>
      <c r="K55" s="47">
        <v>528229</v>
      </c>
      <c r="L55" s="47"/>
      <c r="M55" s="47">
        <v>2560928</v>
      </c>
      <c r="N55" s="47"/>
      <c r="O55" s="47"/>
      <c r="P55" s="47"/>
      <c r="Q55" s="47"/>
      <c r="R55" s="47">
        <v>2306664</v>
      </c>
      <c r="S55" s="48">
        <f>+R55+Q55+P55+O55+N55+M55</f>
        <v>4867592</v>
      </c>
      <c r="T55" s="56">
        <f t="shared" si="2"/>
        <v>29.377459000683633</v>
      </c>
      <c r="U55" s="77">
        <f t="shared" si="9"/>
        <v>0</v>
      </c>
      <c r="V55" s="75"/>
      <c r="W55" s="33"/>
      <c r="X55" s="74"/>
    </row>
    <row r="56" spans="1:24" s="50" customFormat="1" ht="15.75" customHeight="1">
      <c r="A56" s="28" t="s">
        <v>123</v>
      </c>
      <c r="B56" s="58" t="s">
        <v>101</v>
      </c>
      <c r="C56" s="30">
        <f t="shared" si="11"/>
        <v>56206092</v>
      </c>
      <c r="D56" s="31">
        <f>+SUM(D57:D61)</f>
        <v>34444637</v>
      </c>
      <c r="E56" s="31">
        <f aca="true" t="shared" si="27" ref="E56:S56">+SUM(E57:E61)</f>
        <v>21761455</v>
      </c>
      <c r="F56" s="31">
        <f t="shared" si="27"/>
        <v>1242744</v>
      </c>
      <c r="G56" s="31">
        <f t="shared" si="27"/>
        <v>0</v>
      </c>
      <c r="H56" s="31">
        <f t="shared" si="27"/>
        <v>54963348</v>
      </c>
      <c r="I56" s="31">
        <f t="shared" si="27"/>
        <v>46340232</v>
      </c>
      <c r="J56" s="31">
        <f t="shared" si="27"/>
        <v>10298254</v>
      </c>
      <c r="K56" s="31">
        <f t="shared" si="27"/>
        <v>2729878</v>
      </c>
      <c r="L56" s="31">
        <f t="shared" si="27"/>
        <v>0</v>
      </c>
      <c r="M56" s="31">
        <f t="shared" si="27"/>
        <v>29982578</v>
      </c>
      <c r="N56" s="31">
        <f t="shared" si="27"/>
        <v>3329522</v>
      </c>
      <c r="O56" s="31">
        <f t="shared" si="27"/>
        <v>0</v>
      </c>
      <c r="P56" s="31">
        <f t="shared" si="27"/>
        <v>0</v>
      </c>
      <c r="Q56" s="31">
        <f t="shared" si="27"/>
        <v>0</v>
      </c>
      <c r="R56" s="31">
        <f t="shared" si="27"/>
        <v>8623116</v>
      </c>
      <c r="S56" s="31">
        <f t="shared" si="27"/>
        <v>41935216</v>
      </c>
      <c r="T56" s="32">
        <f t="shared" si="2"/>
        <v>28.11408453889484</v>
      </c>
      <c r="U56" s="77">
        <f t="shared" si="9"/>
        <v>0</v>
      </c>
      <c r="V56" s="75"/>
      <c r="W56" s="33"/>
      <c r="X56" s="73"/>
    </row>
    <row r="57" spans="1:24" s="50" customFormat="1" ht="15.75" customHeight="1">
      <c r="A57" s="62">
        <v>1</v>
      </c>
      <c r="B57" s="72" t="s">
        <v>102</v>
      </c>
      <c r="C57" s="35">
        <f t="shared" si="11"/>
        <v>3370297</v>
      </c>
      <c r="D57" s="36">
        <v>861081</v>
      </c>
      <c r="E57" s="36">
        <v>2509216</v>
      </c>
      <c r="F57" s="36">
        <v>148677</v>
      </c>
      <c r="G57" s="37"/>
      <c r="H57" s="57">
        <f t="shared" si="25"/>
        <v>3221620</v>
      </c>
      <c r="I57" s="57">
        <f t="shared" si="26"/>
        <v>2835445</v>
      </c>
      <c r="J57" s="36">
        <v>506812</v>
      </c>
      <c r="K57" s="36">
        <v>350000</v>
      </c>
      <c r="L57" s="36"/>
      <c r="M57" s="36">
        <v>1978633</v>
      </c>
      <c r="N57" s="36"/>
      <c r="O57" s="36"/>
      <c r="P57" s="36"/>
      <c r="Q57" s="36"/>
      <c r="R57" s="36">
        <v>386175</v>
      </c>
      <c r="S57" s="39">
        <f>+R57+Q57+P57+O57+N57+M57</f>
        <v>2364808</v>
      </c>
      <c r="T57" s="54">
        <f t="shared" si="2"/>
        <v>30.217902304576533</v>
      </c>
      <c r="U57" s="77">
        <f t="shared" si="9"/>
        <v>0</v>
      </c>
      <c r="V57" s="75"/>
      <c r="W57" s="33"/>
      <c r="X57" s="73"/>
    </row>
    <row r="58" spans="1:24" s="50" customFormat="1" ht="15.75" customHeight="1">
      <c r="A58" s="52">
        <v>2</v>
      </c>
      <c r="B58" s="44" t="s">
        <v>103</v>
      </c>
      <c r="C58" s="42">
        <f t="shared" si="11"/>
        <v>14027410</v>
      </c>
      <c r="D58" s="36">
        <v>9572695</v>
      </c>
      <c r="E58" s="36">
        <v>4454715</v>
      </c>
      <c r="F58" s="36">
        <v>18000</v>
      </c>
      <c r="G58" s="36"/>
      <c r="H58" s="57">
        <f t="shared" si="25"/>
        <v>14009410</v>
      </c>
      <c r="I58" s="57">
        <f t="shared" si="26"/>
        <v>12116612</v>
      </c>
      <c r="J58" s="36">
        <v>602572</v>
      </c>
      <c r="K58" s="36">
        <v>737656</v>
      </c>
      <c r="L58" s="36"/>
      <c r="M58" s="36">
        <v>8165850</v>
      </c>
      <c r="N58" s="36">
        <v>2610534</v>
      </c>
      <c r="O58" s="36"/>
      <c r="P58" s="36"/>
      <c r="Q58" s="36"/>
      <c r="R58" s="36">
        <v>1892798</v>
      </c>
      <c r="S58" s="36">
        <f>+R58+Q58+P58+O58+N58+M58</f>
        <v>12669182</v>
      </c>
      <c r="T58" s="43">
        <f t="shared" si="2"/>
        <v>11.061078790011598</v>
      </c>
      <c r="U58" s="77">
        <f t="shared" si="9"/>
        <v>0</v>
      </c>
      <c r="V58" s="75"/>
      <c r="W58" s="33"/>
      <c r="X58" s="73"/>
    </row>
    <row r="59" spans="1:24" s="50" customFormat="1" ht="15.75" customHeight="1">
      <c r="A59" s="52">
        <v>3</v>
      </c>
      <c r="B59" s="44" t="s">
        <v>104</v>
      </c>
      <c r="C59" s="42">
        <f t="shared" si="11"/>
        <v>14408660</v>
      </c>
      <c r="D59" s="36">
        <v>10289063</v>
      </c>
      <c r="E59" s="36">
        <v>4119597</v>
      </c>
      <c r="F59" s="36">
        <v>877667</v>
      </c>
      <c r="G59" s="36"/>
      <c r="H59" s="57">
        <f t="shared" si="25"/>
        <v>13530993</v>
      </c>
      <c r="I59" s="57">
        <f t="shared" si="26"/>
        <v>9820529</v>
      </c>
      <c r="J59" s="36">
        <v>2312570</v>
      </c>
      <c r="K59" s="36">
        <v>344506</v>
      </c>
      <c r="L59" s="36">
        <v>0</v>
      </c>
      <c r="M59" s="36">
        <v>7163453</v>
      </c>
      <c r="N59" s="36"/>
      <c r="O59" s="36"/>
      <c r="P59" s="36"/>
      <c r="Q59" s="36"/>
      <c r="R59" s="36">
        <v>3710464</v>
      </c>
      <c r="S59" s="36">
        <f>+R59+Q59+P59+O59+N59+M59</f>
        <v>10873917</v>
      </c>
      <c r="T59" s="43">
        <f t="shared" si="2"/>
        <v>27.056342891508184</v>
      </c>
      <c r="U59" s="77">
        <f t="shared" si="9"/>
        <v>0</v>
      </c>
      <c r="V59" s="75"/>
      <c r="W59" s="33"/>
      <c r="X59" s="73"/>
    </row>
    <row r="60" spans="1:24" s="50" customFormat="1" ht="15.75" customHeight="1">
      <c r="A60" s="52">
        <v>4</v>
      </c>
      <c r="B60" s="44" t="s">
        <v>105</v>
      </c>
      <c r="C60" s="42">
        <f t="shared" si="11"/>
        <v>20121304</v>
      </c>
      <c r="D60" s="36">
        <v>12167960</v>
      </c>
      <c r="E60" s="36">
        <v>7953344</v>
      </c>
      <c r="F60" s="36">
        <v>198200</v>
      </c>
      <c r="G60" s="36"/>
      <c r="H60" s="57">
        <f t="shared" si="25"/>
        <v>19923104</v>
      </c>
      <c r="I60" s="57">
        <f t="shared" si="26"/>
        <v>18011976</v>
      </c>
      <c r="J60" s="36">
        <v>5008504</v>
      </c>
      <c r="K60" s="36">
        <v>1072394</v>
      </c>
      <c r="L60" s="36"/>
      <c r="M60" s="36">
        <v>11212090</v>
      </c>
      <c r="N60" s="36">
        <v>718988</v>
      </c>
      <c r="O60" s="36"/>
      <c r="P60" s="36"/>
      <c r="Q60" s="36"/>
      <c r="R60" s="36">
        <v>1911128</v>
      </c>
      <c r="S60" s="36">
        <f>+R60+Q60+P60+O60+N60+M60</f>
        <v>13842206</v>
      </c>
      <c r="T60" s="43">
        <f t="shared" si="2"/>
        <v>33.76030481053272</v>
      </c>
      <c r="U60" s="77">
        <f t="shared" si="9"/>
        <v>0</v>
      </c>
      <c r="V60" s="75"/>
      <c r="W60" s="33"/>
      <c r="X60" s="73"/>
    </row>
    <row r="61" spans="1:24" s="50" customFormat="1" ht="15.75" customHeight="1">
      <c r="A61" s="59">
        <v>5</v>
      </c>
      <c r="B61" s="45" t="s">
        <v>93</v>
      </c>
      <c r="C61" s="46">
        <f t="shared" si="11"/>
        <v>4278421</v>
      </c>
      <c r="D61" s="36">
        <v>1553838</v>
      </c>
      <c r="E61" s="36">
        <v>2724583</v>
      </c>
      <c r="F61" s="36">
        <v>200</v>
      </c>
      <c r="G61" s="47"/>
      <c r="H61" s="57">
        <f t="shared" si="25"/>
        <v>4278221</v>
      </c>
      <c r="I61" s="57">
        <f t="shared" si="26"/>
        <v>3555670</v>
      </c>
      <c r="J61" s="36">
        <v>1867796</v>
      </c>
      <c r="K61" s="36">
        <v>225322</v>
      </c>
      <c r="L61" s="36"/>
      <c r="M61" s="36">
        <v>1462552</v>
      </c>
      <c r="N61" s="36">
        <v>0</v>
      </c>
      <c r="O61" s="36">
        <v>0</v>
      </c>
      <c r="P61" s="36"/>
      <c r="Q61" s="36"/>
      <c r="R61" s="36">
        <v>722551</v>
      </c>
      <c r="S61" s="48">
        <f>+R61+Q61+P61+O61+N61+M61</f>
        <v>2185103</v>
      </c>
      <c r="T61" s="56">
        <f t="shared" si="2"/>
        <v>58.86704896686138</v>
      </c>
      <c r="U61" s="77">
        <f t="shared" si="9"/>
        <v>0</v>
      </c>
      <c r="V61" s="75"/>
      <c r="W61" s="33"/>
      <c r="X61" s="73"/>
    </row>
    <row r="62" spans="1:24" s="50" customFormat="1" ht="15.75" customHeight="1">
      <c r="A62" s="28" t="s">
        <v>124</v>
      </c>
      <c r="B62" s="58" t="s">
        <v>106</v>
      </c>
      <c r="C62" s="49">
        <f>D62+E62</f>
        <v>29589898</v>
      </c>
      <c r="D62" s="31">
        <f>+SUM(D63:D68)</f>
        <v>12758631</v>
      </c>
      <c r="E62" s="31">
        <f aca="true" t="shared" si="28" ref="E62:S62">+SUM(E63:E68)</f>
        <v>16831267</v>
      </c>
      <c r="F62" s="31">
        <f t="shared" si="28"/>
        <v>19083</v>
      </c>
      <c r="G62" s="31">
        <f t="shared" si="28"/>
        <v>0</v>
      </c>
      <c r="H62" s="31">
        <f>+I62+R62</f>
        <v>29570815</v>
      </c>
      <c r="I62" s="31">
        <f t="shared" si="28"/>
        <v>23435564</v>
      </c>
      <c r="J62" s="31">
        <f t="shared" si="28"/>
        <v>7868715</v>
      </c>
      <c r="K62" s="31">
        <f t="shared" si="28"/>
        <v>1207443</v>
      </c>
      <c r="L62" s="31">
        <f t="shared" si="28"/>
        <v>0</v>
      </c>
      <c r="M62" s="31">
        <f t="shared" si="28"/>
        <v>12625692</v>
      </c>
      <c r="N62" s="31">
        <f t="shared" si="28"/>
        <v>1316792</v>
      </c>
      <c r="O62" s="31">
        <f t="shared" si="28"/>
        <v>0</v>
      </c>
      <c r="P62" s="31">
        <f t="shared" si="28"/>
        <v>0</v>
      </c>
      <c r="Q62" s="31">
        <f t="shared" si="28"/>
        <v>416922</v>
      </c>
      <c r="R62" s="31">
        <f t="shared" si="28"/>
        <v>6135251</v>
      </c>
      <c r="S62" s="31">
        <f t="shared" si="28"/>
        <v>20494657</v>
      </c>
      <c r="T62" s="32">
        <f t="shared" si="2"/>
        <v>38.72813984762645</v>
      </c>
      <c r="U62" s="77">
        <f t="shared" si="9"/>
        <v>0</v>
      </c>
      <c r="V62" s="75"/>
      <c r="W62" s="33"/>
      <c r="X62" s="73"/>
    </row>
    <row r="63" spans="1:24" s="50" customFormat="1" ht="17.25" customHeight="1">
      <c r="A63" s="78">
        <v>1</v>
      </c>
      <c r="B63" s="63" t="s">
        <v>82</v>
      </c>
      <c r="C63" s="51">
        <f t="shared" si="11"/>
        <v>4661761</v>
      </c>
      <c r="D63" s="79">
        <v>2118453</v>
      </c>
      <c r="E63" s="79">
        <v>2543308</v>
      </c>
      <c r="F63" s="79"/>
      <c r="G63" s="79"/>
      <c r="H63" s="38">
        <f aca="true" t="shared" si="29" ref="H63:H68">+I63+R63</f>
        <v>4661761</v>
      </c>
      <c r="I63" s="38">
        <f aca="true" t="shared" si="30" ref="I63:I68">+J63+K63+M63+N63+O63+P63+Q63+L63</f>
        <v>3728315</v>
      </c>
      <c r="J63" s="79">
        <v>799181</v>
      </c>
      <c r="K63" s="79">
        <v>27850</v>
      </c>
      <c r="L63" s="79">
        <v>0</v>
      </c>
      <c r="M63" s="79">
        <v>1408033</v>
      </c>
      <c r="N63" s="79">
        <v>1076329</v>
      </c>
      <c r="O63" s="79">
        <v>0</v>
      </c>
      <c r="P63" s="79">
        <v>0</v>
      </c>
      <c r="Q63" s="79">
        <v>416922</v>
      </c>
      <c r="R63" s="79">
        <v>933446</v>
      </c>
      <c r="S63" s="36">
        <f>+R63+Q63+P63+O63+N63+M63</f>
        <v>3834730</v>
      </c>
      <c r="T63" s="54">
        <f t="shared" si="2"/>
        <v>22.182433619476896</v>
      </c>
      <c r="U63" s="77">
        <f t="shared" si="9"/>
        <v>0</v>
      </c>
      <c r="V63" s="75"/>
      <c r="W63" s="33"/>
      <c r="X63" s="73"/>
    </row>
    <row r="64" spans="1:24" s="50" customFormat="1" ht="17.25" customHeight="1">
      <c r="A64" s="52">
        <v>2</v>
      </c>
      <c r="B64" s="80" t="s">
        <v>107</v>
      </c>
      <c r="C64" s="42">
        <f t="shared" si="11"/>
        <v>1188212</v>
      </c>
      <c r="D64" s="36">
        <v>98421</v>
      </c>
      <c r="E64" s="36">
        <v>1089791</v>
      </c>
      <c r="F64" s="36">
        <v>19083</v>
      </c>
      <c r="G64" s="36"/>
      <c r="H64" s="38">
        <f t="shared" si="29"/>
        <v>1169129</v>
      </c>
      <c r="I64" s="38">
        <f t="shared" si="30"/>
        <v>1169129</v>
      </c>
      <c r="J64" s="36">
        <v>1141873</v>
      </c>
      <c r="K64" s="36">
        <v>27256</v>
      </c>
      <c r="L64" s="36"/>
      <c r="M64" s="36"/>
      <c r="N64" s="36"/>
      <c r="O64" s="36"/>
      <c r="P64" s="36"/>
      <c r="Q64" s="36"/>
      <c r="R64" s="36"/>
      <c r="S64" s="36">
        <f>+R64+Q64+P64+O64+N64+M64</f>
        <v>0</v>
      </c>
      <c r="T64" s="43">
        <f t="shared" si="2"/>
        <v>100</v>
      </c>
      <c r="U64" s="77">
        <f t="shared" si="9"/>
        <v>0</v>
      </c>
      <c r="V64" s="75"/>
      <c r="W64" s="33"/>
      <c r="X64" s="73"/>
    </row>
    <row r="65" spans="1:24" s="50" customFormat="1" ht="17.25" customHeight="1">
      <c r="A65" s="52">
        <v>3</v>
      </c>
      <c r="B65" s="148" t="s">
        <v>157</v>
      </c>
      <c r="C65" s="42">
        <f t="shared" si="11"/>
        <v>8213224</v>
      </c>
      <c r="D65" s="36">
        <v>3689941</v>
      </c>
      <c r="E65" s="36">
        <v>4523283</v>
      </c>
      <c r="F65" s="36">
        <v>0</v>
      </c>
      <c r="G65" s="36"/>
      <c r="H65" s="38">
        <f t="shared" si="29"/>
        <v>8213224</v>
      </c>
      <c r="I65" s="38">
        <f t="shared" si="30"/>
        <v>5982012</v>
      </c>
      <c r="J65" s="36">
        <v>1216233</v>
      </c>
      <c r="K65" s="36">
        <v>323168</v>
      </c>
      <c r="L65" s="36">
        <v>0</v>
      </c>
      <c r="M65" s="36">
        <v>4442610</v>
      </c>
      <c r="N65" s="36">
        <v>1</v>
      </c>
      <c r="O65" s="36">
        <v>0</v>
      </c>
      <c r="P65" s="36">
        <v>0</v>
      </c>
      <c r="Q65" s="36">
        <v>0</v>
      </c>
      <c r="R65" s="36">
        <v>2231212</v>
      </c>
      <c r="S65" s="36">
        <f aca="true" t="shared" si="31" ref="S65:S93">+R65+Q65+P65+O65+N65+M65</f>
        <v>6673823</v>
      </c>
      <c r="T65" s="43">
        <f aca="true" t="shared" si="32" ref="T65:T93">+(J65+K65+L65)/I65*100</f>
        <v>25.733833365763893</v>
      </c>
      <c r="U65" s="77">
        <f t="shared" si="9"/>
        <v>0</v>
      </c>
      <c r="V65" s="75"/>
      <c r="W65" s="33"/>
      <c r="X65" s="73"/>
    </row>
    <row r="66" spans="1:24" s="50" customFormat="1" ht="17.25" customHeight="1">
      <c r="A66" s="52">
        <v>4</v>
      </c>
      <c r="B66" s="44" t="s">
        <v>108</v>
      </c>
      <c r="C66" s="42">
        <f t="shared" si="11"/>
        <v>5444928</v>
      </c>
      <c r="D66" s="36">
        <v>3032683</v>
      </c>
      <c r="E66" s="36">
        <v>2412245</v>
      </c>
      <c r="F66" s="36">
        <v>0</v>
      </c>
      <c r="G66" s="36"/>
      <c r="H66" s="38">
        <f t="shared" si="29"/>
        <v>5444928</v>
      </c>
      <c r="I66" s="38">
        <f t="shared" si="30"/>
        <v>3843416</v>
      </c>
      <c r="J66" s="36">
        <v>1363315</v>
      </c>
      <c r="K66" s="36">
        <v>507294</v>
      </c>
      <c r="L66" s="36">
        <v>0</v>
      </c>
      <c r="M66" s="36">
        <v>1972807</v>
      </c>
      <c r="N66" s="36">
        <v>0</v>
      </c>
      <c r="O66" s="36">
        <v>0</v>
      </c>
      <c r="P66" s="36">
        <v>0</v>
      </c>
      <c r="Q66" s="36">
        <v>0</v>
      </c>
      <c r="R66" s="36">
        <v>1601512</v>
      </c>
      <c r="S66" s="36">
        <f t="shared" si="31"/>
        <v>3574319</v>
      </c>
      <c r="T66" s="43">
        <f t="shared" si="32"/>
        <v>48.67047959419433</v>
      </c>
      <c r="U66" s="77">
        <f t="shared" si="9"/>
        <v>0</v>
      </c>
      <c r="V66" s="75"/>
      <c r="W66" s="33"/>
      <c r="X66" s="73"/>
    </row>
    <row r="67" spans="1:24" s="50" customFormat="1" ht="17.25" customHeight="1">
      <c r="A67" s="52">
        <v>5</v>
      </c>
      <c r="B67" s="53" t="s">
        <v>96</v>
      </c>
      <c r="C67" s="42">
        <f t="shared" si="11"/>
        <v>8933862</v>
      </c>
      <c r="D67" s="36">
        <v>3678950</v>
      </c>
      <c r="E67" s="36">
        <v>5254912</v>
      </c>
      <c r="F67" s="36">
        <v>0</v>
      </c>
      <c r="G67" s="36"/>
      <c r="H67" s="38">
        <f t="shared" si="29"/>
        <v>8933862</v>
      </c>
      <c r="I67" s="38">
        <f t="shared" si="30"/>
        <v>7564781</v>
      </c>
      <c r="J67" s="36">
        <v>2338951</v>
      </c>
      <c r="K67" s="36">
        <v>183126</v>
      </c>
      <c r="L67" s="36">
        <v>0</v>
      </c>
      <c r="M67" s="36">
        <v>4802242</v>
      </c>
      <c r="N67" s="36">
        <v>240462</v>
      </c>
      <c r="O67" s="36">
        <v>0</v>
      </c>
      <c r="P67" s="36">
        <v>0</v>
      </c>
      <c r="Q67" s="36">
        <v>0</v>
      </c>
      <c r="R67" s="36">
        <v>1369081</v>
      </c>
      <c r="S67" s="36">
        <f t="shared" si="31"/>
        <v>6411785</v>
      </c>
      <c r="T67" s="43">
        <f t="shared" si="32"/>
        <v>33.339722590779566</v>
      </c>
      <c r="U67" s="77">
        <f t="shared" si="9"/>
        <v>0</v>
      </c>
      <c r="V67" s="75"/>
      <c r="W67" s="33"/>
      <c r="X67" s="73"/>
    </row>
    <row r="68" spans="1:24" s="50" customFormat="1" ht="15.75" customHeight="1">
      <c r="A68" s="59">
        <v>6</v>
      </c>
      <c r="B68" s="45" t="s">
        <v>109</v>
      </c>
      <c r="C68" s="46">
        <f t="shared" si="11"/>
        <v>1147911</v>
      </c>
      <c r="D68" s="36">
        <v>140183</v>
      </c>
      <c r="E68" s="36">
        <v>1007728</v>
      </c>
      <c r="F68" s="36">
        <v>0</v>
      </c>
      <c r="G68" s="47"/>
      <c r="H68" s="55">
        <f t="shared" si="29"/>
        <v>1147911</v>
      </c>
      <c r="I68" s="55">
        <f t="shared" si="30"/>
        <v>1147911</v>
      </c>
      <c r="J68" s="36">
        <v>1009162</v>
      </c>
      <c r="K68" s="36">
        <v>138749</v>
      </c>
      <c r="L68" s="36">
        <v>0</v>
      </c>
      <c r="M68" s="36"/>
      <c r="N68" s="36"/>
      <c r="O68" s="36">
        <v>0</v>
      </c>
      <c r="P68" s="36">
        <v>0</v>
      </c>
      <c r="Q68" s="36">
        <v>0</v>
      </c>
      <c r="R68" s="36"/>
      <c r="S68" s="48">
        <f t="shared" si="31"/>
        <v>0</v>
      </c>
      <c r="T68" s="56">
        <f t="shared" si="32"/>
        <v>100</v>
      </c>
      <c r="U68" s="77">
        <f t="shared" si="9"/>
        <v>0</v>
      </c>
      <c r="V68" s="75"/>
      <c r="W68" s="33"/>
      <c r="X68" s="73"/>
    </row>
    <row r="69" spans="1:24" s="50" customFormat="1" ht="15.75" customHeight="1">
      <c r="A69" s="28" t="s">
        <v>125</v>
      </c>
      <c r="B69" s="58" t="s">
        <v>110</v>
      </c>
      <c r="C69" s="30">
        <f t="shared" si="11"/>
        <v>23305180</v>
      </c>
      <c r="D69" s="31">
        <f>+SUM(D70:D73)</f>
        <v>15782657</v>
      </c>
      <c r="E69" s="31">
        <f aca="true" t="shared" si="33" ref="E69:R69">+SUM(E70:E73)</f>
        <v>7522523</v>
      </c>
      <c r="F69" s="31">
        <f t="shared" si="33"/>
        <v>53576</v>
      </c>
      <c r="G69" s="31">
        <f t="shared" si="33"/>
        <v>0</v>
      </c>
      <c r="H69" s="31">
        <f t="shared" si="33"/>
        <v>23251604</v>
      </c>
      <c r="I69" s="31">
        <f t="shared" si="33"/>
        <v>14755481</v>
      </c>
      <c r="J69" s="31">
        <f t="shared" si="33"/>
        <v>5635184</v>
      </c>
      <c r="K69" s="31">
        <f t="shared" si="33"/>
        <v>1674982</v>
      </c>
      <c r="L69" s="31">
        <f t="shared" si="33"/>
        <v>0</v>
      </c>
      <c r="M69" s="31">
        <f t="shared" si="33"/>
        <v>6684615</v>
      </c>
      <c r="N69" s="31">
        <f t="shared" si="33"/>
        <v>760700</v>
      </c>
      <c r="O69" s="31">
        <f t="shared" si="33"/>
        <v>0</v>
      </c>
      <c r="P69" s="31">
        <f t="shared" si="33"/>
        <v>0</v>
      </c>
      <c r="Q69" s="31">
        <f t="shared" si="33"/>
        <v>0</v>
      </c>
      <c r="R69" s="31">
        <f t="shared" si="33"/>
        <v>8496123</v>
      </c>
      <c r="S69" s="81">
        <f t="shared" si="31"/>
        <v>15941438</v>
      </c>
      <c r="T69" s="32">
        <f t="shared" si="32"/>
        <v>49.542037972194876</v>
      </c>
      <c r="U69" s="77">
        <f t="shared" si="9"/>
        <v>0</v>
      </c>
      <c r="V69" s="75"/>
      <c r="W69" s="33"/>
      <c r="X69" s="73"/>
    </row>
    <row r="70" spans="1:24" s="61" customFormat="1" ht="15.75" customHeight="1">
      <c r="A70" s="62">
        <v>1</v>
      </c>
      <c r="B70" s="34" t="s">
        <v>137</v>
      </c>
      <c r="C70" s="35">
        <f t="shared" si="11"/>
        <v>414664</v>
      </c>
      <c r="D70" s="37">
        <v>167128</v>
      </c>
      <c r="E70" s="37">
        <v>247536</v>
      </c>
      <c r="F70" s="37">
        <v>2150</v>
      </c>
      <c r="G70" s="37"/>
      <c r="H70" s="71">
        <f aca="true" t="shared" si="34" ref="H70:H80">+I70+R70</f>
        <v>412514</v>
      </c>
      <c r="I70" s="71">
        <f aca="true" t="shared" si="35" ref="I70:I80">+J70+K70+M70+N70+O70+P70+Q70+L70</f>
        <v>306806</v>
      </c>
      <c r="J70" s="37">
        <v>188039</v>
      </c>
      <c r="K70" s="37">
        <v>34700</v>
      </c>
      <c r="L70" s="37">
        <v>0</v>
      </c>
      <c r="M70" s="37">
        <v>84067</v>
      </c>
      <c r="N70" s="37">
        <v>0</v>
      </c>
      <c r="O70" s="37">
        <v>0</v>
      </c>
      <c r="P70" s="37">
        <v>0</v>
      </c>
      <c r="Q70" s="37">
        <v>0</v>
      </c>
      <c r="R70" s="37">
        <v>105708</v>
      </c>
      <c r="S70" s="39">
        <f t="shared" si="31"/>
        <v>189775</v>
      </c>
      <c r="T70" s="54">
        <f t="shared" si="32"/>
        <v>72.59929727580295</v>
      </c>
      <c r="U70" s="77">
        <f t="shared" si="9"/>
        <v>0</v>
      </c>
      <c r="V70" s="75"/>
      <c r="W70" s="33"/>
      <c r="X70" s="74"/>
    </row>
    <row r="71" spans="1:24" s="50" customFormat="1" ht="15.75" customHeight="1">
      <c r="A71" s="52">
        <v>2</v>
      </c>
      <c r="B71" s="41" t="s">
        <v>138</v>
      </c>
      <c r="C71" s="42">
        <f t="shared" si="11"/>
        <v>9744517</v>
      </c>
      <c r="D71" s="36">
        <v>4505323</v>
      </c>
      <c r="E71" s="36">
        <v>5239194</v>
      </c>
      <c r="F71" s="36">
        <v>47300</v>
      </c>
      <c r="G71" s="36"/>
      <c r="H71" s="38">
        <f t="shared" si="34"/>
        <v>9697217</v>
      </c>
      <c r="I71" s="38">
        <f t="shared" si="35"/>
        <v>3917907</v>
      </c>
      <c r="J71" s="36">
        <v>1389223</v>
      </c>
      <c r="K71" s="36">
        <v>1224799</v>
      </c>
      <c r="L71" s="36">
        <v>0</v>
      </c>
      <c r="M71" s="36">
        <v>543185</v>
      </c>
      <c r="N71" s="36">
        <v>760700</v>
      </c>
      <c r="O71" s="36">
        <v>0</v>
      </c>
      <c r="P71" s="36">
        <v>0</v>
      </c>
      <c r="Q71" s="36">
        <v>0</v>
      </c>
      <c r="R71" s="36">
        <v>5779310</v>
      </c>
      <c r="S71" s="36">
        <f t="shared" si="31"/>
        <v>7083195</v>
      </c>
      <c r="T71" s="43">
        <f t="shared" si="32"/>
        <v>66.71985833252295</v>
      </c>
      <c r="U71" s="77">
        <f t="shared" si="9"/>
        <v>0</v>
      </c>
      <c r="V71" s="75"/>
      <c r="W71" s="33"/>
      <c r="X71" s="73"/>
    </row>
    <row r="72" spans="1:24" s="50" customFormat="1" ht="15.75" customHeight="1">
      <c r="A72" s="52">
        <v>3</v>
      </c>
      <c r="B72" s="44" t="s">
        <v>153</v>
      </c>
      <c r="C72" s="42">
        <f t="shared" si="11"/>
        <v>7317056</v>
      </c>
      <c r="D72" s="36">
        <v>5899330</v>
      </c>
      <c r="E72" s="36">
        <v>1417726</v>
      </c>
      <c r="F72" s="36">
        <v>0</v>
      </c>
      <c r="G72" s="36"/>
      <c r="H72" s="38">
        <f>+I72+R72</f>
        <v>7317056</v>
      </c>
      <c r="I72" s="38">
        <f>+J72+K72+M72+N72+O72+P72+Q72+L72</f>
        <v>5424143</v>
      </c>
      <c r="J72" s="36">
        <v>3204565</v>
      </c>
      <c r="K72" s="36">
        <v>254026</v>
      </c>
      <c r="L72" s="36">
        <v>0</v>
      </c>
      <c r="M72" s="36">
        <v>1965552</v>
      </c>
      <c r="N72" s="36">
        <v>0</v>
      </c>
      <c r="O72" s="36">
        <v>0</v>
      </c>
      <c r="P72" s="36">
        <v>0</v>
      </c>
      <c r="Q72" s="36">
        <v>0</v>
      </c>
      <c r="R72" s="36">
        <v>1892913</v>
      </c>
      <c r="S72" s="36">
        <f t="shared" si="31"/>
        <v>3858465</v>
      </c>
      <c r="T72" s="43">
        <f t="shared" si="32"/>
        <v>63.762902268616436</v>
      </c>
      <c r="U72" s="77">
        <f t="shared" si="9"/>
        <v>0</v>
      </c>
      <c r="V72" s="75"/>
      <c r="W72" s="33"/>
      <c r="X72" s="73"/>
    </row>
    <row r="73" spans="1:24" s="50" customFormat="1" ht="15.75" customHeight="1">
      <c r="A73" s="59">
        <v>4</v>
      </c>
      <c r="B73" s="44" t="s">
        <v>48</v>
      </c>
      <c r="C73" s="46">
        <f t="shared" si="11"/>
        <v>5828943</v>
      </c>
      <c r="D73" s="47">
        <v>5210876</v>
      </c>
      <c r="E73" s="47">
        <v>618067</v>
      </c>
      <c r="F73" s="47">
        <v>4126</v>
      </c>
      <c r="G73" s="47"/>
      <c r="H73" s="55">
        <f t="shared" si="34"/>
        <v>5824817</v>
      </c>
      <c r="I73" s="55">
        <f t="shared" si="35"/>
        <v>5106625</v>
      </c>
      <c r="J73" s="47">
        <v>853357</v>
      </c>
      <c r="K73" s="47">
        <v>161457</v>
      </c>
      <c r="L73" s="47">
        <v>0</v>
      </c>
      <c r="M73" s="47">
        <v>4091811</v>
      </c>
      <c r="N73" s="47">
        <v>0</v>
      </c>
      <c r="O73" s="47">
        <v>0</v>
      </c>
      <c r="P73" s="47">
        <v>0</v>
      </c>
      <c r="Q73" s="47">
        <v>0</v>
      </c>
      <c r="R73" s="47">
        <v>718192</v>
      </c>
      <c r="S73" s="48">
        <f t="shared" si="31"/>
        <v>4810003</v>
      </c>
      <c r="T73" s="56">
        <f t="shared" si="32"/>
        <v>19.872498959684723</v>
      </c>
      <c r="U73" s="77">
        <f t="shared" si="9"/>
        <v>0</v>
      </c>
      <c r="V73" s="75"/>
      <c r="W73" s="33"/>
      <c r="X73" s="73"/>
    </row>
    <row r="74" spans="1:24" s="50" customFormat="1" ht="15.75" customHeight="1">
      <c r="A74" s="28" t="s">
        <v>126</v>
      </c>
      <c r="B74" s="58" t="s">
        <v>111</v>
      </c>
      <c r="C74" s="49">
        <f t="shared" si="11"/>
        <v>527734594</v>
      </c>
      <c r="D74" s="31">
        <f>+SUM(D75:D80)</f>
        <v>520944862</v>
      </c>
      <c r="E74" s="31">
        <f aca="true" t="shared" si="36" ref="E74:R74">+SUM(E75:E80)</f>
        <v>6789732</v>
      </c>
      <c r="F74" s="31">
        <f t="shared" si="36"/>
        <v>229585756</v>
      </c>
      <c r="G74" s="31">
        <f t="shared" si="36"/>
        <v>0</v>
      </c>
      <c r="H74" s="76">
        <f t="shared" si="34"/>
        <v>298148838</v>
      </c>
      <c r="I74" s="76">
        <f t="shared" si="35"/>
        <v>262587659</v>
      </c>
      <c r="J74" s="31">
        <f t="shared" si="36"/>
        <v>18066560</v>
      </c>
      <c r="K74" s="31">
        <f t="shared" si="36"/>
        <v>1432786</v>
      </c>
      <c r="L74" s="31">
        <f t="shared" si="36"/>
        <v>8200</v>
      </c>
      <c r="M74" s="31">
        <f t="shared" si="36"/>
        <v>241328100</v>
      </c>
      <c r="N74" s="31">
        <f t="shared" si="36"/>
        <v>1752013</v>
      </c>
      <c r="O74" s="31">
        <f t="shared" si="36"/>
        <v>0</v>
      </c>
      <c r="P74" s="31">
        <f t="shared" si="36"/>
        <v>0</v>
      </c>
      <c r="Q74" s="31">
        <f t="shared" si="36"/>
        <v>0</v>
      </c>
      <c r="R74" s="31">
        <f t="shared" si="36"/>
        <v>35561179</v>
      </c>
      <c r="S74" s="81">
        <f t="shared" si="31"/>
        <v>278641292</v>
      </c>
      <c r="T74" s="32">
        <f t="shared" si="32"/>
        <v>7.428965273649818</v>
      </c>
      <c r="U74" s="77">
        <f t="shared" si="9"/>
        <v>0</v>
      </c>
      <c r="V74" s="75"/>
      <c r="W74" s="33"/>
      <c r="X74" s="73"/>
    </row>
    <row r="75" spans="1:24" s="50" customFormat="1" ht="13.5" customHeight="1">
      <c r="A75" s="64">
        <v>1</v>
      </c>
      <c r="B75" s="63" t="s">
        <v>112</v>
      </c>
      <c r="C75" s="51">
        <f t="shared" si="11"/>
        <v>478726501</v>
      </c>
      <c r="D75" s="37">
        <v>478634369</v>
      </c>
      <c r="E75" s="37">
        <v>92132</v>
      </c>
      <c r="F75" s="37">
        <v>228901678</v>
      </c>
      <c r="G75" s="37"/>
      <c r="H75" s="57">
        <f t="shared" si="34"/>
        <v>249824823</v>
      </c>
      <c r="I75" s="57">
        <f t="shared" si="35"/>
        <v>218150541</v>
      </c>
      <c r="J75" s="37">
        <v>15835118</v>
      </c>
      <c r="K75" s="37">
        <v>0</v>
      </c>
      <c r="L75" s="37">
        <v>0</v>
      </c>
      <c r="M75" s="37">
        <v>202315423</v>
      </c>
      <c r="N75" s="37">
        <v>0</v>
      </c>
      <c r="O75" s="37">
        <v>0</v>
      </c>
      <c r="P75" s="37">
        <v>0</v>
      </c>
      <c r="Q75" s="37">
        <v>0</v>
      </c>
      <c r="R75" s="37">
        <v>31674282</v>
      </c>
      <c r="S75" s="39">
        <f t="shared" si="31"/>
        <v>233989705</v>
      </c>
      <c r="T75" s="54">
        <f t="shared" si="32"/>
        <v>7.258802993296267</v>
      </c>
      <c r="U75" s="77">
        <f t="shared" si="9"/>
        <v>0</v>
      </c>
      <c r="V75" s="75"/>
      <c r="W75" s="33"/>
      <c r="X75" s="73"/>
    </row>
    <row r="76" spans="1:24" s="50" customFormat="1" ht="13.5" customHeight="1">
      <c r="A76" s="40">
        <v>2</v>
      </c>
      <c r="B76" s="44" t="s">
        <v>113</v>
      </c>
      <c r="C76" s="42">
        <f t="shared" si="11"/>
        <v>7976312</v>
      </c>
      <c r="D76" s="36">
        <v>6190621</v>
      </c>
      <c r="E76" s="36">
        <v>1785691</v>
      </c>
      <c r="F76" s="36">
        <v>0</v>
      </c>
      <c r="G76" s="36"/>
      <c r="H76" s="38">
        <f t="shared" si="34"/>
        <v>7976312</v>
      </c>
      <c r="I76" s="38">
        <f t="shared" si="35"/>
        <v>5524941</v>
      </c>
      <c r="J76" s="36">
        <v>1159424</v>
      </c>
      <c r="K76" s="36">
        <v>836932</v>
      </c>
      <c r="L76" s="36">
        <v>0</v>
      </c>
      <c r="M76" s="36">
        <v>1886438</v>
      </c>
      <c r="N76" s="36">
        <v>1642147</v>
      </c>
      <c r="O76" s="36">
        <v>0</v>
      </c>
      <c r="P76" s="36">
        <v>0</v>
      </c>
      <c r="Q76" s="36">
        <v>0</v>
      </c>
      <c r="R76" s="36">
        <v>2451371</v>
      </c>
      <c r="S76" s="36">
        <f t="shared" si="31"/>
        <v>5979956</v>
      </c>
      <c r="T76" s="43">
        <f t="shared" si="32"/>
        <v>36.133526131772264</v>
      </c>
      <c r="U76" s="77">
        <f t="shared" si="9"/>
        <v>0</v>
      </c>
      <c r="V76" s="75"/>
      <c r="W76" s="33"/>
      <c r="X76" s="73"/>
    </row>
    <row r="77" spans="1:24" s="50" customFormat="1" ht="13.5" customHeight="1">
      <c r="A77" s="40">
        <v>3</v>
      </c>
      <c r="B77" s="44" t="s">
        <v>146</v>
      </c>
      <c r="C77" s="42">
        <f t="shared" si="11"/>
        <v>37954654</v>
      </c>
      <c r="D77" s="36">
        <v>34210516</v>
      </c>
      <c r="E77" s="36">
        <v>3744138</v>
      </c>
      <c r="F77" s="36">
        <v>668038</v>
      </c>
      <c r="G77" s="36"/>
      <c r="H77" s="38">
        <f t="shared" si="34"/>
        <v>37286616</v>
      </c>
      <c r="I77" s="38">
        <f t="shared" si="35"/>
        <v>36741377</v>
      </c>
      <c r="J77" s="36">
        <v>583826</v>
      </c>
      <c r="K77" s="36">
        <v>125950</v>
      </c>
      <c r="L77" s="36">
        <v>0</v>
      </c>
      <c r="M77" s="36">
        <v>35921735</v>
      </c>
      <c r="N77" s="36">
        <v>109866</v>
      </c>
      <c r="O77" s="36">
        <v>0</v>
      </c>
      <c r="P77" s="36">
        <v>0</v>
      </c>
      <c r="Q77" s="36">
        <v>0</v>
      </c>
      <c r="R77" s="36">
        <v>545239</v>
      </c>
      <c r="S77" s="36">
        <f t="shared" si="31"/>
        <v>36576840</v>
      </c>
      <c r="T77" s="43">
        <f t="shared" si="32"/>
        <v>1.9318165456890741</v>
      </c>
      <c r="U77" s="77">
        <f t="shared" si="9"/>
        <v>0</v>
      </c>
      <c r="V77" s="75"/>
      <c r="W77" s="33"/>
      <c r="X77" s="73"/>
    </row>
    <row r="78" spans="1:24" s="50" customFormat="1" ht="13.5" customHeight="1">
      <c r="A78" s="40"/>
      <c r="B78" s="44" t="s">
        <v>129</v>
      </c>
      <c r="C78" s="42">
        <f t="shared" si="11"/>
        <v>2973339</v>
      </c>
      <c r="D78" s="36">
        <v>1869665</v>
      </c>
      <c r="E78" s="36">
        <v>1103674</v>
      </c>
      <c r="F78" s="36">
        <v>16040</v>
      </c>
      <c r="G78" s="36"/>
      <c r="H78" s="38">
        <f t="shared" si="34"/>
        <v>2957299</v>
      </c>
      <c r="I78" s="38">
        <f t="shared" si="35"/>
        <v>2067012</v>
      </c>
      <c r="J78" s="36">
        <v>384404</v>
      </c>
      <c r="K78" s="36">
        <v>469904</v>
      </c>
      <c r="L78" s="36">
        <v>8200</v>
      </c>
      <c r="M78" s="36">
        <v>1204504</v>
      </c>
      <c r="N78" s="36">
        <v>0</v>
      </c>
      <c r="O78" s="36">
        <v>0</v>
      </c>
      <c r="P78" s="36">
        <v>0</v>
      </c>
      <c r="Q78" s="36">
        <v>0</v>
      </c>
      <c r="R78" s="36">
        <v>890287</v>
      </c>
      <c r="S78" s="36">
        <f t="shared" si="31"/>
        <v>2094791</v>
      </c>
      <c r="T78" s="43">
        <f t="shared" si="32"/>
        <v>41.72728556970158</v>
      </c>
      <c r="U78" s="77">
        <f t="shared" si="9"/>
        <v>0</v>
      </c>
      <c r="V78" s="75"/>
      <c r="W78" s="33"/>
      <c r="X78" s="73"/>
    </row>
    <row r="79" spans="1:24" s="50" customFormat="1" ht="13.5" customHeight="1">
      <c r="A79" s="40">
        <v>4</v>
      </c>
      <c r="B79" s="44" t="s">
        <v>147</v>
      </c>
      <c r="C79" s="42">
        <f t="shared" si="11"/>
        <v>46825</v>
      </c>
      <c r="D79" s="36">
        <v>22728</v>
      </c>
      <c r="E79" s="36">
        <v>24097</v>
      </c>
      <c r="F79" s="36">
        <v>0</v>
      </c>
      <c r="G79" s="36"/>
      <c r="H79" s="38">
        <f t="shared" si="34"/>
        <v>46825</v>
      </c>
      <c r="I79" s="38">
        <f t="shared" si="35"/>
        <v>46825</v>
      </c>
      <c r="J79" s="36">
        <v>46825</v>
      </c>
      <c r="K79" s="36">
        <v>0</v>
      </c>
      <c r="L79" s="36">
        <v>0</v>
      </c>
      <c r="M79" s="36">
        <v>0</v>
      </c>
      <c r="N79" s="36">
        <v>0</v>
      </c>
      <c r="O79" s="36">
        <v>0</v>
      </c>
      <c r="P79" s="36">
        <v>0</v>
      </c>
      <c r="Q79" s="36">
        <v>0</v>
      </c>
      <c r="R79" s="36">
        <v>0</v>
      </c>
      <c r="S79" s="36">
        <f t="shared" si="31"/>
        <v>0</v>
      </c>
      <c r="T79" s="43">
        <f t="shared" si="32"/>
        <v>100</v>
      </c>
      <c r="U79" s="77">
        <f t="shared" si="9"/>
        <v>0</v>
      </c>
      <c r="V79" s="75"/>
      <c r="W79" s="33"/>
      <c r="X79" s="73"/>
    </row>
    <row r="80" spans="1:24" s="50" customFormat="1" ht="15.75" customHeight="1">
      <c r="A80" s="65">
        <v>5</v>
      </c>
      <c r="B80" s="45" t="s">
        <v>148</v>
      </c>
      <c r="C80" s="46">
        <f t="shared" si="11"/>
        <v>56963</v>
      </c>
      <c r="D80" s="47">
        <v>16963</v>
      </c>
      <c r="E80" s="47">
        <v>40000</v>
      </c>
      <c r="F80" s="47">
        <v>0</v>
      </c>
      <c r="G80" s="47"/>
      <c r="H80" s="55">
        <f t="shared" si="34"/>
        <v>56963</v>
      </c>
      <c r="I80" s="55">
        <f t="shared" si="35"/>
        <v>56963</v>
      </c>
      <c r="J80" s="47">
        <v>56963</v>
      </c>
      <c r="K80" s="47">
        <v>0</v>
      </c>
      <c r="L80" s="47">
        <v>0</v>
      </c>
      <c r="M80" s="47">
        <v>0</v>
      </c>
      <c r="N80" s="47">
        <v>0</v>
      </c>
      <c r="O80" s="47">
        <v>0</v>
      </c>
      <c r="P80" s="47">
        <v>0</v>
      </c>
      <c r="Q80" s="47">
        <v>0</v>
      </c>
      <c r="R80" s="47">
        <v>0</v>
      </c>
      <c r="S80" s="48">
        <f t="shared" si="31"/>
        <v>0</v>
      </c>
      <c r="T80" s="56">
        <f t="shared" si="32"/>
        <v>100</v>
      </c>
      <c r="U80" s="77">
        <f t="shared" si="9"/>
        <v>0</v>
      </c>
      <c r="V80" s="75"/>
      <c r="W80" s="33"/>
      <c r="X80" s="73"/>
    </row>
    <row r="81" spans="1:24" s="50" customFormat="1" ht="15.75" customHeight="1">
      <c r="A81" s="28" t="s">
        <v>127</v>
      </c>
      <c r="B81" s="58" t="s">
        <v>114</v>
      </c>
      <c r="C81" s="31">
        <f>+SUM(C82:C87)</f>
        <v>54291479</v>
      </c>
      <c r="D81" s="31">
        <f>+SUM(D82:D87)</f>
        <v>29053845</v>
      </c>
      <c r="E81" s="31">
        <f aca="true" t="shared" si="37" ref="E81:R81">+SUM(E82:E87)</f>
        <v>25237634</v>
      </c>
      <c r="F81" s="31">
        <f t="shared" si="37"/>
        <v>108389</v>
      </c>
      <c r="G81" s="31">
        <f t="shared" si="37"/>
        <v>0</v>
      </c>
      <c r="H81" s="31">
        <f t="shared" si="37"/>
        <v>54183090</v>
      </c>
      <c r="I81" s="31">
        <f t="shared" si="37"/>
        <v>29877970</v>
      </c>
      <c r="J81" s="31">
        <f t="shared" si="37"/>
        <v>11949053</v>
      </c>
      <c r="K81" s="31">
        <f t="shared" si="37"/>
        <v>590323</v>
      </c>
      <c r="L81" s="31">
        <f t="shared" si="37"/>
        <v>0</v>
      </c>
      <c r="M81" s="31">
        <f t="shared" si="37"/>
        <v>17112990</v>
      </c>
      <c r="N81" s="31">
        <f t="shared" si="37"/>
        <v>218694</v>
      </c>
      <c r="O81" s="31">
        <f t="shared" si="37"/>
        <v>6910</v>
      </c>
      <c r="P81" s="31">
        <f t="shared" si="37"/>
        <v>0</v>
      </c>
      <c r="Q81" s="31">
        <f t="shared" si="37"/>
        <v>0</v>
      </c>
      <c r="R81" s="31">
        <f t="shared" si="37"/>
        <v>24305120</v>
      </c>
      <c r="S81" s="81">
        <f t="shared" si="31"/>
        <v>41643714</v>
      </c>
      <c r="T81" s="32">
        <f t="shared" si="32"/>
        <v>41.96863441525645</v>
      </c>
      <c r="U81" s="77">
        <f t="shared" si="9"/>
        <v>0</v>
      </c>
      <c r="V81" s="75"/>
      <c r="W81" s="33"/>
      <c r="X81" s="73"/>
    </row>
    <row r="82" spans="1:24" s="50" customFormat="1" ht="18" customHeight="1">
      <c r="A82" s="62">
        <v>1</v>
      </c>
      <c r="B82" s="67" t="s">
        <v>115</v>
      </c>
      <c r="C82" s="35">
        <f t="shared" si="11"/>
        <v>5798768</v>
      </c>
      <c r="D82" s="37">
        <v>5584770</v>
      </c>
      <c r="E82" s="36">
        <v>213998</v>
      </c>
      <c r="F82" s="36">
        <v>9440</v>
      </c>
      <c r="G82" s="36"/>
      <c r="H82" s="57">
        <f aca="true" t="shared" si="38" ref="H82:H92">+I82+R82</f>
        <v>5789328</v>
      </c>
      <c r="I82" s="57">
        <f aca="true" t="shared" si="39" ref="I82:I87">+J82+K82+L82+M82+N82+O82+P82+Q82</f>
        <v>5775258</v>
      </c>
      <c r="J82" s="36">
        <v>3140652</v>
      </c>
      <c r="K82" s="36">
        <v>1300</v>
      </c>
      <c r="L82" s="36">
        <v>0</v>
      </c>
      <c r="M82" s="36">
        <v>2633306</v>
      </c>
      <c r="N82" s="36">
        <v>0</v>
      </c>
      <c r="O82" s="36">
        <v>0</v>
      </c>
      <c r="P82" s="36">
        <v>0</v>
      </c>
      <c r="Q82" s="36">
        <v>0</v>
      </c>
      <c r="R82" s="37">
        <v>14070</v>
      </c>
      <c r="S82" s="39">
        <f t="shared" si="31"/>
        <v>2647376</v>
      </c>
      <c r="T82" s="54">
        <f t="shared" si="32"/>
        <v>54.4036647367096</v>
      </c>
      <c r="U82" s="77">
        <f t="shared" si="9"/>
        <v>0</v>
      </c>
      <c r="V82" s="75"/>
      <c r="W82" s="33"/>
      <c r="X82" s="73"/>
    </row>
    <row r="83" spans="1:24" s="50" customFormat="1" ht="18" customHeight="1">
      <c r="A83" s="52">
        <v>2</v>
      </c>
      <c r="B83" s="44" t="s">
        <v>116</v>
      </c>
      <c r="C83" s="42">
        <f t="shared" si="11"/>
        <v>9158215</v>
      </c>
      <c r="D83" s="36">
        <v>4182113</v>
      </c>
      <c r="E83" s="36">
        <v>4976102</v>
      </c>
      <c r="F83" s="36">
        <v>70040</v>
      </c>
      <c r="G83" s="36"/>
      <c r="H83" s="38">
        <f t="shared" si="38"/>
        <v>9088175</v>
      </c>
      <c r="I83" s="38">
        <f t="shared" si="39"/>
        <v>8234019</v>
      </c>
      <c r="J83" s="36">
        <v>4945987</v>
      </c>
      <c r="K83" s="36">
        <v>0</v>
      </c>
      <c r="L83" s="36">
        <v>0</v>
      </c>
      <c r="M83" s="36">
        <v>3288032</v>
      </c>
      <c r="N83" s="36">
        <v>0</v>
      </c>
      <c r="O83" s="36">
        <v>0</v>
      </c>
      <c r="P83" s="36">
        <v>0</v>
      </c>
      <c r="Q83" s="36">
        <v>0</v>
      </c>
      <c r="R83" s="36">
        <v>854156</v>
      </c>
      <c r="S83" s="36">
        <f t="shared" si="31"/>
        <v>4142188</v>
      </c>
      <c r="T83" s="43">
        <f t="shared" si="32"/>
        <v>60.06771419886206</v>
      </c>
      <c r="U83" s="77">
        <f aca="true" t="shared" si="40" ref="U83:U92">+C83-F83-H83</f>
        <v>0</v>
      </c>
      <c r="V83" s="75"/>
      <c r="W83" s="33"/>
      <c r="X83" s="73"/>
    </row>
    <row r="84" spans="1:24" s="50" customFormat="1" ht="18" customHeight="1">
      <c r="A84" s="52">
        <v>3</v>
      </c>
      <c r="B84" s="44" t="s">
        <v>117</v>
      </c>
      <c r="C84" s="42">
        <f aca="true" t="shared" si="41" ref="C84:C93">D84+E84</f>
        <v>4859885</v>
      </c>
      <c r="D84" s="36">
        <v>4446225</v>
      </c>
      <c r="E84" s="36">
        <v>413660</v>
      </c>
      <c r="F84" s="36">
        <v>3903</v>
      </c>
      <c r="G84" s="36"/>
      <c r="H84" s="38">
        <f t="shared" si="38"/>
        <v>4855982</v>
      </c>
      <c r="I84" s="38">
        <f t="shared" si="39"/>
        <v>2129752</v>
      </c>
      <c r="J84" s="36">
        <v>482516</v>
      </c>
      <c r="K84" s="36">
        <v>256550</v>
      </c>
      <c r="L84" s="36">
        <v>0</v>
      </c>
      <c r="M84" s="36">
        <v>1331992</v>
      </c>
      <c r="N84" s="36">
        <v>58694</v>
      </c>
      <c r="O84" s="36">
        <v>0</v>
      </c>
      <c r="P84" s="36">
        <v>0</v>
      </c>
      <c r="Q84" s="36">
        <v>0</v>
      </c>
      <c r="R84" s="36">
        <v>2726230</v>
      </c>
      <c r="S84" s="36">
        <f t="shared" si="31"/>
        <v>4116916</v>
      </c>
      <c r="T84" s="43">
        <f t="shared" si="32"/>
        <v>34.70197469001086</v>
      </c>
      <c r="U84" s="77">
        <f t="shared" si="40"/>
        <v>0</v>
      </c>
      <c r="V84" s="75"/>
      <c r="W84" s="33"/>
      <c r="X84" s="73"/>
    </row>
    <row r="85" spans="1:24" s="50" customFormat="1" ht="18" customHeight="1">
      <c r="A85" s="52">
        <v>4</v>
      </c>
      <c r="B85" s="68" t="s">
        <v>118</v>
      </c>
      <c r="C85" s="42">
        <f t="shared" si="41"/>
        <v>11351217</v>
      </c>
      <c r="D85" s="48">
        <v>8987264</v>
      </c>
      <c r="E85" s="36">
        <v>2363953</v>
      </c>
      <c r="F85" s="36"/>
      <c r="G85" s="36"/>
      <c r="H85" s="38">
        <f>+I85+R85</f>
        <v>11351217</v>
      </c>
      <c r="I85" s="38">
        <f t="shared" si="39"/>
        <v>5852971</v>
      </c>
      <c r="J85" s="36">
        <v>1793317</v>
      </c>
      <c r="K85" s="36">
        <v>6000</v>
      </c>
      <c r="L85" s="36">
        <v>0</v>
      </c>
      <c r="M85" s="36">
        <v>3916744</v>
      </c>
      <c r="N85" s="36">
        <v>130000</v>
      </c>
      <c r="O85" s="36">
        <v>6910</v>
      </c>
      <c r="P85" s="36">
        <v>0</v>
      </c>
      <c r="Q85" s="36">
        <v>0</v>
      </c>
      <c r="R85" s="48">
        <v>5498246</v>
      </c>
      <c r="S85" s="36">
        <f t="shared" si="31"/>
        <v>9551900</v>
      </c>
      <c r="T85" s="43">
        <f t="shared" si="32"/>
        <v>30.7419428526128</v>
      </c>
      <c r="U85" s="77">
        <f t="shared" si="40"/>
        <v>0</v>
      </c>
      <c r="V85" s="75"/>
      <c r="W85" s="33"/>
      <c r="X85" s="73"/>
    </row>
    <row r="86" spans="1:24" s="50" customFormat="1" ht="18" customHeight="1">
      <c r="A86" s="52">
        <v>5</v>
      </c>
      <c r="B86" s="68" t="s">
        <v>121</v>
      </c>
      <c r="C86" s="42">
        <f t="shared" si="41"/>
        <v>5575160</v>
      </c>
      <c r="D86" s="48">
        <v>2096887</v>
      </c>
      <c r="E86" s="36">
        <v>3478273</v>
      </c>
      <c r="F86" s="36">
        <v>25006</v>
      </c>
      <c r="G86" s="36"/>
      <c r="H86" s="38">
        <f>+I86+R86</f>
        <v>5550154</v>
      </c>
      <c r="I86" s="38">
        <f t="shared" si="39"/>
        <v>3103624</v>
      </c>
      <c r="J86" s="36">
        <v>1021728</v>
      </c>
      <c r="K86" s="36">
        <v>48878</v>
      </c>
      <c r="L86" s="36">
        <v>0</v>
      </c>
      <c r="M86" s="36">
        <v>2003018</v>
      </c>
      <c r="N86" s="36">
        <v>30000</v>
      </c>
      <c r="O86" s="36"/>
      <c r="P86" s="36"/>
      <c r="Q86" s="36">
        <v>0</v>
      </c>
      <c r="R86" s="48">
        <v>2446530</v>
      </c>
      <c r="S86" s="36">
        <f t="shared" si="31"/>
        <v>4479548</v>
      </c>
      <c r="T86" s="43">
        <f t="shared" si="32"/>
        <v>34.49535124100084</v>
      </c>
      <c r="U86" s="77">
        <f t="shared" si="40"/>
        <v>0</v>
      </c>
      <c r="V86" s="75"/>
      <c r="W86" s="33"/>
      <c r="X86" s="73"/>
    </row>
    <row r="87" spans="1:24" s="50" customFormat="1" ht="18" customHeight="1">
      <c r="A87" s="52">
        <v>6</v>
      </c>
      <c r="B87" s="68" t="s">
        <v>148</v>
      </c>
      <c r="C87" s="42">
        <f t="shared" si="41"/>
        <v>17548234</v>
      </c>
      <c r="D87" s="47">
        <v>3756586</v>
      </c>
      <c r="E87" s="36">
        <v>13791648</v>
      </c>
      <c r="F87" s="36"/>
      <c r="G87" s="36"/>
      <c r="H87" s="69">
        <f t="shared" si="38"/>
        <v>17548234</v>
      </c>
      <c r="I87" s="69">
        <f t="shared" si="39"/>
        <v>4782346</v>
      </c>
      <c r="J87" s="36">
        <v>564853</v>
      </c>
      <c r="K87" s="36">
        <v>277595</v>
      </c>
      <c r="L87" s="36">
        <v>0</v>
      </c>
      <c r="M87" s="36">
        <v>3939898</v>
      </c>
      <c r="N87" s="36"/>
      <c r="O87" s="36"/>
      <c r="P87" s="36"/>
      <c r="Q87" s="36"/>
      <c r="R87" s="47">
        <v>12765888</v>
      </c>
      <c r="S87" s="48">
        <f t="shared" si="31"/>
        <v>16705786</v>
      </c>
      <c r="T87" s="56">
        <f t="shared" si="32"/>
        <v>17.615789405450798</v>
      </c>
      <c r="U87" s="77">
        <f t="shared" si="40"/>
        <v>0</v>
      </c>
      <c r="V87" s="75"/>
      <c r="W87" s="33"/>
      <c r="X87" s="73"/>
    </row>
    <row r="88" spans="1:24" s="50" customFormat="1" ht="15.75" customHeight="1">
      <c r="A88" s="28" t="s">
        <v>130</v>
      </c>
      <c r="B88" s="29" t="s">
        <v>119</v>
      </c>
      <c r="C88" s="30">
        <f t="shared" si="41"/>
        <v>38554110.1</v>
      </c>
      <c r="D88" s="31">
        <f>+SUM(D89:D93)</f>
        <v>26785360.6</v>
      </c>
      <c r="E88" s="31">
        <f aca="true" t="shared" si="42" ref="E88:R88">+SUM(E89:E93)</f>
        <v>11768749.500000002</v>
      </c>
      <c r="F88" s="31">
        <f t="shared" si="42"/>
        <v>2265116.1</v>
      </c>
      <c r="G88" s="31">
        <f t="shared" si="42"/>
        <v>0</v>
      </c>
      <c r="H88" s="31">
        <f t="shared" si="42"/>
        <v>36288994</v>
      </c>
      <c r="I88" s="31">
        <f t="shared" si="42"/>
        <v>19202391</v>
      </c>
      <c r="J88" s="31">
        <f t="shared" si="42"/>
        <v>9477532.1</v>
      </c>
      <c r="K88" s="31">
        <f t="shared" si="42"/>
        <v>936636.4</v>
      </c>
      <c r="L88" s="31">
        <f t="shared" si="42"/>
        <v>11000</v>
      </c>
      <c r="M88" s="31">
        <f t="shared" si="42"/>
        <v>7850843.5</v>
      </c>
      <c r="N88" s="31">
        <f t="shared" si="42"/>
        <v>926379</v>
      </c>
      <c r="O88" s="31">
        <f t="shared" si="42"/>
        <v>0</v>
      </c>
      <c r="P88" s="31">
        <f t="shared" si="42"/>
        <v>0</v>
      </c>
      <c r="Q88" s="31">
        <f t="shared" si="42"/>
        <v>0</v>
      </c>
      <c r="R88" s="31">
        <f t="shared" si="42"/>
        <v>17086603</v>
      </c>
      <c r="S88" s="81">
        <f t="shared" si="31"/>
        <v>25863825.5</v>
      </c>
      <c r="T88" s="32">
        <f t="shared" si="32"/>
        <v>54.290991679109126</v>
      </c>
      <c r="U88" s="77">
        <f t="shared" si="40"/>
        <v>0</v>
      </c>
      <c r="V88" s="75"/>
      <c r="W88" s="33"/>
      <c r="X88" s="73"/>
    </row>
    <row r="89" spans="1:24" s="50" customFormat="1" ht="15.75" customHeight="1">
      <c r="A89" s="62">
        <v>1</v>
      </c>
      <c r="B89" s="66" t="s">
        <v>128</v>
      </c>
      <c r="C89" s="35">
        <f t="shared" si="41"/>
        <v>10932495</v>
      </c>
      <c r="D89" s="37">
        <v>4064018.5</v>
      </c>
      <c r="E89" s="37">
        <v>6868476.5</v>
      </c>
      <c r="F89" s="37">
        <v>1792813.6</v>
      </c>
      <c r="G89" s="37"/>
      <c r="H89" s="57">
        <f t="shared" si="38"/>
        <v>9139681.4</v>
      </c>
      <c r="I89" s="57">
        <f>+J89+K89+M89+N89+O89+P89+Q89+L89</f>
        <v>8087873.4</v>
      </c>
      <c r="J89" s="37">
        <v>4322058.6</v>
      </c>
      <c r="K89" s="37">
        <v>55548.5</v>
      </c>
      <c r="L89" s="37">
        <v>0</v>
      </c>
      <c r="M89" s="37">
        <v>3423157.3000000007</v>
      </c>
      <c r="N89" s="37">
        <v>287109</v>
      </c>
      <c r="O89" s="37">
        <v>0</v>
      </c>
      <c r="P89" s="37">
        <v>0</v>
      </c>
      <c r="Q89" s="37">
        <v>0</v>
      </c>
      <c r="R89" s="37">
        <v>1051808</v>
      </c>
      <c r="S89" s="39">
        <f t="shared" si="31"/>
        <v>4762074.300000001</v>
      </c>
      <c r="T89" s="54">
        <f t="shared" si="32"/>
        <v>54.12556408214797</v>
      </c>
      <c r="U89" s="77">
        <f t="shared" si="40"/>
        <v>0</v>
      </c>
      <c r="V89" s="75"/>
      <c r="W89" s="33"/>
      <c r="X89" s="73"/>
    </row>
    <row r="90" spans="1:24" s="50" customFormat="1" ht="15.75" customHeight="1">
      <c r="A90" s="40">
        <v>2</v>
      </c>
      <c r="B90" s="41" t="s">
        <v>145</v>
      </c>
      <c r="C90" s="42">
        <f t="shared" si="41"/>
        <v>7908604.699999999</v>
      </c>
      <c r="D90" s="36">
        <v>5827946.1</v>
      </c>
      <c r="E90" s="36">
        <v>2080658.6</v>
      </c>
      <c r="F90" s="36">
        <v>443832.5</v>
      </c>
      <c r="G90" s="36">
        <v>0</v>
      </c>
      <c r="H90" s="38">
        <f t="shared" si="38"/>
        <v>7464772.199999999</v>
      </c>
      <c r="I90" s="38">
        <f>+J90+K90+M90+N90+O90+P90+Q90+L90</f>
        <v>3080193.1999999993</v>
      </c>
      <c r="J90" s="36">
        <v>2327769.5</v>
      </c>
      <c r="K90" s="36">
        <v>73710</v>
      </c>
      <c r="L90" s="36">
        <v>0</v>
      </c>
      <c r="M90" s="36">
        <v>631213.6999999993</v>
      </c>
      <c r="N90" s="36">
        <v>47500</v>
      </c>
      <c r="O90" s="36">
        <v>0</v>
      </c>
      <c r="P90" s="36">
        <v>0</v>
      </c>
      <c r="Q90" s="36">
        <v>0</v>
      </c>
      <c r="R90" s="36">
        <v>4384579</v>
      </c>
      <c r="S90" s="36">
        <f t="shared" si="31"/>
        <v>5063292.699999999</v>
      </c>
      <c r="T90" s="43">
        <f t="shared" si="32"/>
        <v>77.96522309055162</v>
      </c>
      <c r="U90" s="77">
        <f t="shared" si="40"/>
        <v>0</v>
      </c>
      <c r="V90" s="75"/>
      <c r="W90" s="33"/>
      <c r="X90" s="73"/>
    </row>
    <row r="91" spans="1:24" s="50" customFormat="1" ht="15.75" customHeight="1">
      <c r="A91" s="40">
        <v>3</v>
      </c>
      <c r="B91" s="44" t="s">
        <v>73</v>
      </c>
      <c r="C91" s="42">
        <f t="shared" si="41"/>
        <v>6382031.8</v>
      </c>
      <c r="D91" s="36">
        <v>5703331</v>
      </c>
      <c r="E91" s="36">
        <v>678700.8</v>
      </c>
      <c r="F91" s="36"/>
      <c r="G91" s="36">
        <v>0</v>
      </c>
      <c r="H91" s="38">
        <f t="shared" si="38"/>
        <v>6382031.8</v>
      </c>
      <c r="I91" s="38">
        <f>+J91+K91+M91+N91+O91+P91+Q91+L91</f>
        <v>3684272.8</v>
      </c>
      <c r="J91" s="36">
        <v>108271</v>
      </c>
      <c r="K91" s="36">
        <v>9900</v>
      </c>
      <c r="L91" s="36"/>
      <c r="M91" s="36">
        <v>2974331.8</v>
      </c>
      <c r="N91" s="36">
        <v>591770</v>
      </c>
      <c r="O91" s="36"/>
      <c r="P91" s="36"/>
      <c r="Q91" s="36"/>
      <c r="R91" s="36">
        <v>2697759</v>
      </c>
      <c r="S91" s="36">
        <f t="shared" si="31"/>
        <v>6263860.8</v>
      </c>
      <c r="T91" s="43">
        <f t="shared" si="32"/>
        <v>3.207444356454821</v>
      </c>
      <c r="U91" s="77">
        <f t="shared" si="40"/>
        <v>0</v>
      </c>
      <c r="V91" s="75"/>
      <c r="W91" s="33"/>
      <c r="X91" s="73"/>
    </row>
    <row r="92" spans="1:24" s="50" customFormat="1" ht="15.75" customHeight="1">
      <c r="A92" s="40">
        <v>3</v>
      </c>
      <c r="B92" s="44" t="s">
        <v>129</v>
      </c>
      <c r="C92" s="42">
        <f t="shared" si="41"/>
        <v>1672558.8</v>
      </c>
      <c r="D92" s="36">
        <v>139025</v>
      </c>
      <c r="E92" s="36">
        <v>1533533.8</v>
      </c>
      <c r="F92" s="36">
        <v>28470</v>
      </c>
      <c r="G92" s="36">
        <v>0</v>
      </c>
      <c r="H92" s="38">
        <f t="shared" si="38"/>
        <v>1644088.8</v>
      </c>
      <c r="I92" s="38">
        <f>+J92+K92+M92+N92+O92+P92+Q92+L92</f>
        <v>1644088.8</v>
      </c>
      <c r="J92" s="36">
        <v>871225.4</v>
      </c>
      <c r="K92" s="36">
        <v>761863.4</v>
      </c>
      <c r="L92" s="36">
        <v>11000</v>
      </c>
      <c r="M92" s="36">
        <v>0</v>
      </c>
      <c r="N92" s="36"/>
      <c r="O92" s="36">
        <v>0</v>
      </c>
      <c r="P92" s="36">
        <v>0</v>
      </c>
      <c r="Q92" s="36">
        <v>0</v>
      </c>
      <c r="R92" s="36">
        <v>0</v>
      </c>
      <c r="S92" s="36">
        <f t="shared" si="31"/>
        <v>0</v>
      </c>
      <c r="T92" s="43">
        <f t="shared" si="32"/>
        <v>100</v>
      </c>
      <c r="U92" s="77">
        <f t="shared" si="40"/>
        <v>0</v>
      </c>
      <c r="V92" s="75"/>
      <c r="W92" s="33"/>
      <c r="X92" s="73"/>
    </row>
    <row r="93" spans="1:24" s="50" customFormat="1" ht="15.75" customHeight="1">
      <c r="A93" s="65">
        <v>4</v>
      </c>
      <c r="B93" s="60" t="s">
        <v>109</v>
      </c>
      <c r="C93" s="46">
        <f t="shared" si="41"/>
        <v>11658419.8</v>
      </c>
      <c r="D93" s="47">
        <v>11051040</v>
      </c>
      <c r="E93" s="47">
        <v>607379.8</v>
      </c>
      <c r="F93" s="47"/>
      <c r="G93" s="47"/>
      <c r="H93" s="143">
        <f>+I93+R93</f>
        <v>11658419.8</v>
      </c>
      <c r="I93" s="143">
        <f>+J93+K93+M93+N93+O93+P93+Q93+L93</f>
        <v>2705962.8000000007</v>
      </c>
      <c r="J93" s="47">
        <v>1848207.6</v>
      </c>
      <c r="K93" s="47">
        <v>35614.5</v>
      </c>
      <c r="L93" s="47"/>
      <c r="M93" s="47">
        <v>822140.7000000007</v>
      </c>
      <c r="N93" s="47"/>
      <c r="O93" s="47"/>
      <c r="P93" s="47"/>
      <c r="Q93" s="47"/>
      <c r="R93" s="47">
        <v>8952457</v>
      </c>
      <c r="S93" s="47">
        <f t="shared" si="31"/>
        <v>9774597.700000001</v>
      </c>
      <c r="T93" s="144">
        <f t="shared" si="32"/>
        <v>69.61744263446636</v>
      </c>
      <c r="U93" s="77"/>
      <c r="V93" s="75"/>
      <c r="W93" s="33"/>
      <c r="X93" s="73"/>
    </row>
    <row r="94" spans="1:24" s="50" customFormat="1" ht="24" customHeight="1">
      <c r="A94" s="197"/>
      <c r="B94" s="197"/>
      <c r="C94" s="197"/>
      <c r="D94" s="197"/>
      <c r="E94" s="197"/>
      <c r="F94" s="105"/>
      <c r="G94" s="105"/>
      <c r="H94" s="106"/>
      <c r="I94" s="106"/>
      <c r="J94" s="105"/>
      <c r="K94" s="105"/>
      <c r="L94" s="105"/>
      <c r="M94" s="198" t="s">
        <v>154</v>
      </c>
      <c r="N94" s="198"/>
      <c r="O94" s="198"/>
      <c r="P94" s="198"/>
      <c r="Q94" s="198"/>
      <c r="R94" s="198"/>
      <c r="S94" s="198"/>
      <c r="T94" s="107"/>
      <c r="U94" s="108"/>
      <c r="V94" s="107"/>
      <c r="W94" s="33"/>
      <c r="X94" s="73"/>
    </row>
    <row r="95" spans="1:24" s="50" customFormat="1" ht="16.5" customHeight="1">
      <c r="A95" s="109"/>
      <c r="B95" s="199" t="s">
        <v>19</v>
      </c>
      <c r="C95" s="199"/>
      <c r="D95" s="199"/>
      <c r="E95" s="111"/>
      <c r="F95" s="106"/>
      <c r="G95" s="106"/>
      <c r="H95" s="106"/>
      <c r="I95" s="106"/>
      <c r="J95" s="106"/>
      <c r="K95" s="106"/>
      <c r="L95" s="106"/>
      <c r="M95" s="200" t="s">
        <v>139</v>
      </c>
      <c r="N95" s="200"/>
      <c r="O95" s="200"/>
      <c r="P95" s="200"/>
      <c r="Q95" s="200"/>
      <c r="R95" s="200"/>
      <c r="S95" s="200"/>
      <c r="T95" s="112"/>
      <c r="U95" s="113"/>
      <c r="V95" s="112"/>
      <c r="W95" s="33"/>
      <c r="X95" s="73"/>
    </row>
    <row r="96" spans="1:24" s="50" customFormat="1" ht="15.75">
      <c r="A96" s="114"/>
      <c r="B96" s="201" t="s">
        <v>140</v>
      </c>
      <c r="C96" s="201"/>
      <c r="D96" s="201"/>
      <c r="E96" s="115"/>
      <c r="F96" s="115"/>
      <c r="G96" s="115"/>
      <c r="H96" s="116"/>
      <c r="I96" s="116"/>
      <c r="J96" s="115"/>
      <c r="K96" s="115"/>
      <c r="L96" s="115"/>
      <c r="M96" s="202" t="s">
        <v>69</v>
      </c>
      <c r="N96" s="202"/>
      <c r="O96" s="202"/>
      <c r="P96" s="202"/>
      <c r="Q96" s="202"/>
      <c r="R96" s="202"/>
      <c r="S96" s="202"/>
      <c r="T96" s="115"/>
      <c r="U96" s="117"/>
      <c r="V96" s="115"/>
      <c r="W96" s="33"/>
      <c r="X96" s="73"/>
    </row>
    <row r="97" spans="1:24" s="50" customFormat="1" ht="27.75" customHeight="1">
      <c r="A97" s="114"/>
      <c r="B97" s="110"/>
      <c r="C97" s="27"/>
      <c r="D97" s="27" t="s">
        <v>3</v>
      </c>
      <c r="E97" s="115"/>
      <c r="F97" s="115"/>
      <c r="G97" s="115"/>
      <c r="H97" s="116"/>
      <c r="I97" s="116"/>
      <c r="J97" s="115"/>
      <c r="K97" s="115"/>
      <c r="L97" s="115"/>
      <c r="M97" s="27"/>
      <c r="N97" s="27"/>
      <c r="O97" s="27"/>
      <c r="P97" s="27"/>
      <c r="Q97" s="27"/>
      <c r="R97" s="115"/>
      <c r="S97" s="74"/>
      <c r="T97" s="74"/>
      <c r="U97" s="118"/>
      <c r="V97" s="74"/>
      <c r="W97" s="33"/>
      <c r="X97" s="73"/>
    </row>
    <row r="98" spans="1:24" s="50" customFormat="1" ht="16.5">
      <c r="A98" s="114"/>
      <c r="B98" s="110"/>
      <c r="C98" s="27"/>
      <c r="D98" s="27"/>
      <c r="E98" s="115"/>
      <c r="F98" s="115"/>
      <c r="G98" s="115"/>
      <c r="H98" s="116"/>
      <c r="I98" s="116"/>
      <c r="J98" s="115"/>
      <c r="K98" s="115"/>
      <c r="L98" s="115"/>
      <c r="M98" s="27"/>
      <c r="N98" s="27"/>
      <c r="O98" s="27"/>
      <c r="P98" s="27"/>
      <c r="Q98" s="27"/>
      <c r="R98" s="115"/>
      <c r="S98" s="74"/>
      <c r="T98" s="74"/>
      <c r="U98" s="118"/>
      <c r="V98" s="74"/>
      <c r="W98" s="33"/>
      <c r="X98" s="73"/>
    </row>
    <row r="99" spans="1:24" s="50" customFormat="1" ht="16.5">
      <c r="A99" s="119"/>
      <c r="B99" s="110"/>
      <c r="C99" s="27"/>
      <c r="D99" s="27"/>
      <c r="E99" s="120"/>
      <c r="F99" s="120"/>
      <c r="G99" s="120"/>
      <c r="H99" s="121"/>
      <c r="I99" s="121"/>
      <c r="J99" s="120"/>
      <c r="K99" s="120"/>
      <c r="L99" s="120"/>
      <c r="M99" s="27"/>
      <c r="N99" s="27"/>
      <c r="O99" s="27"/>
      <c r="P99" s="27"/>
      <c r="Q99" s="27"/>
      <c r="R99" s="74"/>
      <c r="S99" s="74"/>
      <c r="T99" s="74"/>
      <c r="U99" s="118"/>
      <c r="V99" s="74"/>
      <c r="W99" s="33"/>
      <c r="X99" s="73"/>
    </row>
    <row r="100" spans="1:24" s="50" customFormat="1" ht="16.5">
      <c r="A100" s="119"/>
      <c r="B100" s="193" t="s">
        <v>71</v>
      </c>
      <c r="C100" s="193"/>
      <c r="D100" s="193"/>
      <c r="E100" s="120"/>
      <c r="F100" s="120"/>
      <c r="G100" s="120"/>
      <c r="H100" s="121"/>
      <c r="I100" s="121"/>
      <c r="J100" s="120"/>
      <c r="K100" s="120"/>
      <c r="L100" s="120"/>
      <c r="M100" s="194" t="s">
        <v>149</v>
      </c>
      <c r="N100" s="194"/>
      <c r="O100" s="194"/>
      <c r="P100" s="194"/>
      <c r="Q100" s="194"/>
      <c r="R100" s="194"/>
      <c r="S100" s="194"/>
      <c r="T100" s="74"/>
      <c r="U100" s="118"/>
      <c r="V100" s="74"/>
      <c r="X100" s="73"/>
    </row>
    <row r="101" spans="8:24" s="50" customFormat="1" ht="14.25">
      <c r="H101" s="122"/>
      <c r="I101" s="122"/>
      <c r="U101" s="123"/>
      <c r="X101" s="73"/>
    </row>
    <row r="103" spans="8:9" s="95" customFormat="1" ht="8.25">
      <c r="H103" s="96"/>
      <c r="I103" s="96"/>
    </row>
    <row r="104" spans="3:24" s="97" customFormat="1" ht="8.25">
      <c r="C104" s="98"/>
      <c r="D104" s="99"/>
      <c r="E104" s="99"/>
      <c r="F104" s="99"/>
      <c r="G104" s="99"/>
      <c r="H104" s="98"/>
      <c r="I104" s="98"/>
      <c r="J104" s="99"/>
      <c r="K104" s="99"/>
      <c r="L104" s="99"/>
      <c r="M104" s="99"/>
      <c r="N104" s="99"/>
      <c r="O104" s="99"/>
      <c r="Q104" s="99"/>
      <c r="R104" s="99"/>
      <c r="S104" s="99"/>
      <c r="U104" s="99"/>
      <c r="X104" s="98"/>
    </row>
    <row r="105" spans="3:24" s="100" customFormat="1" ht="8.25">
      <c r="C105" s="95"/>
      <c r="H105" s="96"/>
      <c r="I105" s="96"/>
      <c r="U105" s="101"/>
      <c r="X105" s="95"/>
    </row>
    <row r="106" spans="3:24" s="100" customFormat="1" ht="8.25">
      <c r="C106" s="95"/>
      <c r="E106" s="101"/>
      <c r="F106" s="101"/>
      <c r="G106" s="101"/>
      <c r="H106" s="96"/>
      <c r="I106" s="96"/>
      <c r="J106" s="101"/>
      <c r="K106" s="101"/>
      <c r="L106" s="101"/>
      <c r="M106" s="101"/>
      <c r="N106" s="101"/>
      <c r="O106" s="101"/>
      <c r="P106" s="101"/>
      <c r="Q106" s="101"/>
      <c r="R106" s="101"/>
      <c r="S106" s="101"/>
      <c r="T106" s="102"/>
      <c r="U106" s="101"/>
      <c r="X106" s="95"/>
    </row>
    <row r="107" spans="3:9" ht="14.25">
      <c r="C107" s="95"/>
      <c r="H107" s="96"/>
      <c r="I107" s="96"/>
    </row>
  </sheetData>
  <sheetProtection/>
  <mergeCells count="42">
    <mergeCell ref="B100:D100"/>
    <mergeCell ref="M100:S100"/>
    <mergeCell ref="A11:B11"/>
    <mergeCell ref="A94:E94"/>
    <mergeCell ref="M94:S94"/>
    <mergeCell ref="B95:D95"/>
    <mergeCell ref="M95:S95"/>
    <mergeCell ref="B96:D96"/>
    <mergeCell ref="M96:S96"/>
    <mergeCell ref="A12:B12"/>
    <mergeCell ref="I8:I10"/>
    <mergeCell ref="J8:Q8"/>
    <mergeCell ref="L9:L10"/>
    <mergeCell ref="M9:M10"/>
    <mergeCell ref="N9:N10"/>
    <mergeCell ref="O9:O10"/>
    <mergeCell ref="J9:J10"/>
    <mergeCell ref="K9:K10"/>
    <mergeCell ref="Q4:T4"/>
    <mergeCell ref="Q5:T5"/>
    <mergeCell ref="H6:R6"/>
    <mergeCell ref="S6:S10"/>
    <mergeCell ref="P9:P10"/>
    <mergeCell ref="Q9:Q10"/>
    <mergeCell ref="T6:T10"/>
    <mergeCell ref="R7:R10"/>
    <mergeCell ref="H7:H10"/>
    <mergeCell ref="I7:Q7"/>
    <mergeCell ref="A6:B10"/>
    <mergeCell ref="C6:E6"/>
    <mergeCell ref="F6:F10"/>
    <mergeCell ref="G6:G10"/>
    <mergeCell ref="D9:D10"/>
    <mergeCell ref="E9:E10"/>
    <mergeCell ref="C7:C10"/>
    <mergeCell ref="D7:E8"/>
    <mergeCell ref="A3:D3"/>
    <mergeCell ref="E3:P3"/>
    <mergeCell ref="E1:P1"/>
    <mergeCell ref="A2:D2"/>
    <mergeCell ref="E2:P2"/>
    <mergeCell ref="Q2:T2"/>
  </mergeCells>
  <printOptions/>
  <pageMargins left="0.31" right="0.16" top="0.34" bottom="0.2"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203" t="s">
        <v>14</v>
      </c>
      <c r="B1" s="203"/>
      <c r="C1" s="209" t="s">
        <v>43</v>
      </c>
      <c r="D1" s="209"/>
      <c r="E1" s="209"/>
      <c r="F1" s="204" t="s">
        <v>39</v>
      </c>
      <c r="G1" s="204"/>
      <c r="H1" s="204"/>
    </row>
    <row r="2" spans="1:8" ht="33.75" customHeight="1">
      <c r="A2" s="205" t="s">
        <v>46</v>
      </c>
      <c r="B2" s="205"/>
      <c r="C2" s="209"/>
      <c r="D2" s="209"/>
      <c r="E2" s="209"/>
      <c r="F2" s="206" t="s">
        <v>40</v>
      </c>
      <c r="G2" s="206"/>
      <c r="H2" s="206"/>
    </row>
    <row r="3" spans="1:8" ht="19.5" customHeight="1">
      <c r="A3" s="4" t="s">
        <v>35</v>
      </c>
      <c r="B3" s="4"/>
      <c r="C3" s="22"/>
      <c r="D3" s="22"/>
      <c r="E3" s="22"/>
      <c r="F3" s="206" t="s">
        <v>41</v>
      </c>
      <c r="G3" s="206"/>
      <c r="H3" s="206"/>
    </row>
    <row r="4" spans="1:8" s="5" customFormat="1" ht="19.5" customHeight="1">
      <c r="A4" s="4"/>
      <c r="B4" s="4"/>
      <c r="D4" s="6"/>
      <c r="F4" s="7" t="s">
        <v>42</v>
      </c>
      <c r="G4" s="7"/>
      <c r="H4" s="7"/>
    </row>
    <row r="5" spans="1:8" s="21" customFormat="1" ht="36" customHeight="1">
      <c r="A5" s="222" t="s">
        <v>31</v>
      </c>
      <c r="B5" s="223"/>
      <c r="C5" s="226" t="s">
        <v>37</v>
      </c>
      <c r="D5" s="227"/>
      <c r="E5" s="228" t="s">
        <v>36</v>
      </c>
      <c r="F5" s="228"/>
      <c r="G5" s="228"/>
      <c r="H5" s="208"/>
    </row>
    <row r="6" spans="1:8" s="21" customFormat="1" ht="20.25" customHeight="1">
      <c r="A6" s="224"/>
      <c r="B6" s="225"/>
      <c r="C6" s="210" t="s">
        <v>2</v>
      </c>
      <c r="D6" s="210" t="s">
        <v>44</v>
      </c>
      <c r="E6" s="207" t="s">
        <v>38</v>
      </c>
      <c r="F6" s="208"/>
      <c r="G6" s="207" t="s">
        <v>45</v>
      </c>
      <c r="H6" s="208"/>
    </row>
    <row r="7" spans="1:8" s="21" customFormat="1" ht="52.5" customHeight="1">
      <c r="A7" s="224"/>
      <c r="B7" s="225"/>
      <c r="C7" s="211"/>
      <c r="D7" s="211"/>
      <c r="E7" s="3" t="s">
        <v>2</v>
      </c>
      <c r="F7" s="3" t="s">
        <v>7</v>
      </c>
      <c r="G7" s="3" t="s">
        <v>2</v>
      </c>
      <c r="H7" s="3" t="s">
        <v>7</v>
      </c>
    </row>
    <row r="8" spans="1:8" ht="15" customHeight="1">
      <c r="A8" s="213" t="s">
        <v>4</v>
      </c>
      <c r="B8" s="214"/>
      <c r="C8" s="8">
        <v>1</v>
      </c>
      <c r="D8" s="8" t="s">
        <v>24</v>
      </c>
      <c r="E8" s="8" t="s">
        <v>25</v>
      </c>
      <c r="F8" s="8" t="s">
        <v>32</v>
      </c>
      <c r="G8" s="8" t="s">
        <v>33</v>
      </c>
      <c r="H8" s="8" t="s">
        <v>34</v>
      </c>
    </row>
    <row r="9" spans="1:8" ht="26.25" customHeight="1">
      <c r="A9" s="215" t="s">
        <v>17</v>
      </c>
      <c r="B9" s="216"/>
      <c r="C9" s="8"/>
      <c r="D9" s="8"/>
      <c r="E9" s="8"/>
      <c r="F9" s="8"/>
      <c r="G9" s="8"/>
      <c r="H9" s="8"/>
    </row>
    <row r="10" spans="1:8" ht="24.75" customHeight="1">
      <c r="A10" s="9" t="s">
        <v>0</v>
      </c>
      <c r="B10" s="10" t="s">
        <v>8</v>
      </c>
      <c r="C10" s="2"/>
      <c r="D10" s="11"/>
      <c r="E10" s="11"/>
      <c r="F10" s="11"/>
      <c r="G10" s="11"/>
      <c r="H10" s="11"/>
    </row>
    <row r="11" spans="1:8" ht="24.75" customHeight="1">
      <c r="A11" s="12" t="s">
        <v>1</v>
      </c>
      <c r="B11" s="13" t="s">
        <v>9</v>
      </c>
      <c r="C11" s="2"/>
      <c r="D11" s="11"/>
      <c r="E11" s="11"/>
      <c r="F11" s="11"/>
      <c r="G11" s="11"/>
      <c r="H11" s="11"/>
    </row>
    <row r="12" spans="1:8" ht="24.75" customHeight="1">
      <c r="A12" s="14" t="s">
        <v>23</v>
      </c>
      <c r="B12" s="2" t="s">
        <v>10</v>
      </c>
      <c r="C12" s="2"/>
      <c r="D12" s="11"/>
      <c r="E12" s="11"/>
      <c r="F12" s="11"/>
      <c r="G12" s="11"/>
      <c r="H12" s="11"/>
    </row>
    <row r="13" spans="1:8" ht="24.75" customHeight="1">
      <c r="A13" s="14" t="s">
        <v>24</v>
      </c>
      <c r="B13" s="2" t="s">
        <v>10</v>
      </c>
      <c r="C13" s="2"/>
      <c r="D13" s="11"/>
      <c r="E13" s="11"/>
      <c r="F13" s="11"/>
      <c r="G13" s="11"/>
      <c r="H13" s="11"/>
    </row>
    <row r="14" spans="1:8" ht="24.75" customHeight="1">
      <c r="A14" s="14" t="s">
        <v>25</v>
      </c>
      <c r="B14" s="2" t="s">
        <v>10</v>
      </c>
      <c r="C14" s="2"/>
      <c r="D14" s="11"/>
      <c r="E14" s="11"/>
      <c r="F14" s="11"/>
      <c r="G14" s="11"/>
      <c r="H14" s="11"/>
    </row>
    <row r="15" spans="1:8" ht="24.75" customHeight="1">
      <c r="A15" s="14" t="s">
        <v>11</v>
      </c>
      <c r="B15" s="23" t="s">
        <v>11</v>
      </c>
      <c r="C15" s="15"/>
      <c r="D15" s="16"/>
      <c r="E15" s="16"/>
      <c r="F15" s="16"/>
      <c r="G15" s="16"/>
      <c r="H15" s="16"/>
    </row>
    <row r="16" spans="2:8" ht="16.5" customHeight="1">
      <c r="B16" s="217" t="s">
        <v>30</v>
      </c>
      <c r="C16" s="217"/>
      <c r="D16" s="24"/>
      <c r="E16" s="219" t="s">
        <v>12</v>
      </c>
      <c r="F16" s="219"/>
      <c r="G16" s="219"/>
      <c r="H16" s="219"/>
    </row>
    <row r="17" spans="2:8" ht="15.75" customHeight="1">
      <c r="B17" s="217"/>
      <c r="C17" s="217"/>
      <c r="D17" s="24"/>
      <c r="E17" s="220" t="s">
        <v>20</v>
      </c>
      <c r="F17" s="220"/>
      <c r="G17" s="220"/>
      <c r="H17" s="220"/>
    </row>
    <row r="18" spans="2:8" s="25" customFormat="1" ht="15.75" customHeight="1">
      <c r="B18" s="217"/>
      <c r="C18" s="217"/>
      <c r="D18" s="26"/>
      <c r="E18" s="221" t="s">
        <v>29</v>
      </c>
      <c r="F18" s="221"/>
      <c r="G18" s="221"/>
      <c r="H18" s="221"/>
    </row>
    <row r="20" ht="15.75">
      <c r="B20" s="17"/>
    </row>
    <row r="22" ht="15.75" hidden="1">
      <c r="A22" s="18" t="s">
        <v>21</v>
      </c>
    </row>
    <row r="23" spans="1:3" ht="15.75" hidden="1">
      <c r="A23" s="19"/>
      <c r="B23" s="218" t="s">
        <v>26</v>
      </c>
      <c r="C23" s="218"/>
    </row>
    <row r="24" spans="1:8" ht="15.75" customHeight="1" hidden="1">
      <c r="A24" s="20" t="s">
        <v>13</v>
      </c>
      <c r="B24" s="212" t="s">
        <v>27</v>
      </c>
      <c r="C24" s="212"/>
      <c r="D24" s="20"/>
      <c r="E24" s="20"/>
      <c r="F24" s="20"/>
      <c r="G24" s="20"/>
      <c r="H24" s="20"/>
    </row>
    <row r="25" spans="1:8" ht="15" customHeight="1" hidden="1">
      <c r="A25" s="20"/>
      <c r="B25" s="212" t="s">
        <v>28</v>
      </c>
      <c r="C25" s="212"/>
      <c r="D25" s="212"/>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huy</cp:lastModifiedBy>
  <cp:lastPrinted>2017-08-07T00:55:20Z</cp:lastPrinted>
  <dcterms:created xsi:type="dcterms:W3CDTF">2004-03-07T02:36:29Z</dcterms:created>
  <dcterms:modified xsi:type="dcterms:W3CDTF">2017-08-26T14:43:01Z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